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961" activeTab="17"/>
  </bookViews>
  <sheets>
    <sheet name="1.k" sheetId="1" r:id="rId1"/>
    <sheet name="2.k" sheetId="2" r:id="rId2"/>
    <sheet name="3.k" sheetId="3" r:id="rId3"/>
    <sheet name="1.mell " sheetId="4" r:id="rId4"/>
    <sheet name="2.mell" sheetId="5" r:id="rId5"/>
    <sheet name="3.mell" sheetId="6" r:id="rId6"/>
    <sheet name="4.mell " sheetId="7" r:id="rId7"/>
    <sheet name="5.mell" sheetId="8" r:id="rId8"/>
    <sheet name="6.mell" sheetId="9" r:id="rId9"/>
    <sheet name="7.mell" sheetId="10" r:id="rId10"/>
    <sheet name="8  EU" sheetId="11" r:id="rId11"/>
    <sheet name="9 több év" sheetId="12" r:id="rId12"/>
    <sheet name="10" sheetId="13" r:id="rId13"/>
    <sheet name="11" sheetId="14" r:id="rId14"/>
    <sheet name=" 12 A" sheetId="15" r:id="rId15"/>
    <sheet name="12 B 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 " sheetId="22" r:id="rId22"/>
  </sheets>
  <externalReferences>
    <externalReference r:id="rId25"/>
  </externalReferences>
  <definedNames>
    <definedName name="_xlnm.Print_Titles" localSheetId="14">' 12 A'!$5:$7</definedName>
    <definedName name="_xlnm.Print_Titles" localSheetId="1">'2.k'!$3:$4</definedName>
    <definedName name="_xlnm.Print_Titles" localSheetId="2">'3.k'!$12:$15</definedName>
    <definedName name="_xlnm.Print_Titles" localSheetId="5">'3.mell'!$5:$6</definedName>
    <definedName name="_xlnm.Print_Titles" localSheetId="6">'4.mell '!$6:$9</definedName>
    <definedName name="_xlnm.Print_Titles" localSheetId="7">'5.mell'!$5:$7</definedName>
    <definedName name="_xlnm.Print_Titles" localSheetId="8">'6.mell'!$7:$8</definedName>
    <definedName name="_xlnm.Print_Area" localSheetId="14">' 12 A'!$A$1:$N$64</definedName>
    <definedName name="_xlnm.Print_Area" localSheetId="0">'1.k'!$A$1:$D$47</definedName>
    <definedName name="_xlnm.Print_Area" localSheetId="3">'1.mell '!$A$1:$O$35</definedName>
    <definedName name="_xlnm.Print_Area" localSheetId="13">'11'!$A$1:$I$35</definedName>
    <definedName name="_xlnm.Print_Area" localSheetId="15">'12 B '!$A$1:$D$67</definedName>
    <definedName name="_xlnm.Print_Area" localSheetId="16">'13'!$A$1:$G$62</definedName>
    <definedName name="_xlnm.Print_Area" localSheetId="18">'15'!$A$1:$H$52</definedName>
    <definedName name="_xlnm.Print_Area" localSheetId="19">'16'!$A$1:$H$24</definedName>
    <definedName name="_xlnm.Print_Area" localSheetId="21">'18 '!$A$1:$H$20</definedName>
    <definedName name="_xlnm.Print_Area" localSheetId="4">'2.mell'!$A$1:$E$205</definedName>
    <definedName name="_xlnm.Print_Area" localSheetId="2">'3.k'!$A$1:$H$35</definedName>
    <definedName name="_xlnm.Print_Area" localSheetId="5">'3.mell'!$A$1:$F$695</definedName>
    <definedName name="_xlnm.Print_Area" localSheetId="6">'4.mell '!$A$1:$L$39</definedName>
    <definedName name="_xlnm.Print_Area" localSheetId="7">'5.mell'!$A$1:$P$640</definedName>
    <definedName name="_xlnm.Print_Area" localSheetId="8">'6.mell'!$A$1:$F$100</definedName>
    <definedName name="_xlnm.Print_Area" localSheetId="9">'7.mell'!$A$1:$F$19</definedName>
    <definedName name="_xlnm.Print_Area" localSheetId="10">'8  EU'!$A$1:$I$73</definedName>
    <definedName name="_xlnm.Print_Area" localSheetId="11">'9 több év'!$A$1:$H$27</definedName>
  </definedNames>
  <calcPr fullCalcOnLoad="1"/>
</workbook>
</file>

<file path=xl/sharedStrings.xml><?xml version="1.0" encoding="utf-8"?>
<sst xmlns="http://schemas.openxmlformats.org/spreadsheetml/2006/main" count="3221" uniqueCount="1144">
  <si>
    <t>KTKT - DAOP-4.2.1./2F-2f-2009-0008. pályázat többletkiadásai</t>
  </si>
  <si>
    <t xml:space="preserve">    Forgatási célú hitelviszonyt megtestesítő értékpapírok bevételei</t>
  </si>
  <si>
    <t>42.</t>
  </si>
  <si>
    <t xml:space="preserve">    Pénzforgalom nélküli bevételek</t>
  </si>
  <si>
    <t>45.</t>
  </si>
  <si>
    <t>46.</t>
  </si>
  <si>
    <t xml:space="preserve">    Kiegyenlítő, függő, átfutó bevételek</t>
  </si>
  <si>
    <t>47.</t>
  </si>
  <si>
    <t>48.</t>
  </si>
  <si>
    <t xml:space="preserve">Pénzforgalmi költségvetési bevételek és kiadások különbsége (36-13) [költségvetési hiány(-),költségvetési többlet(+)]        </t>
  </si>
  <si>
    <t>49.</t>
  </si>
  <si>
    <t>50.</t>
  </si>
  <si>
    <r>
      <t xml:space="preserve">   Költségvetési pénzforgalmi kiadások összesen </t>
    </r>
    <r>
      <rPr>
        <sz val="8"/>
        <rFont val="Times New Roman"/>
        <family val="1"/>
      </rPr>
      <t>(01+…+12)</t>
    </r>
  </si>
  <si>
    <r>
      <t xml:space="preserve">    </t>
    </r>
    <r>
      <rPr>
        <sz val="8"/>
        <rFont val="Times New Roman"/>
        <family val="1"/>
      </rPr>
      <t>Hosszú lejáratú hitelek törlesztése</t>
    </r>
  </si>
  <si>
    <r>
      <t xml:space="preserve">    </t>
    </r>
    <r>
      <rPr>
        <sz val="8"/>
        <rFont val="Times New Roman"/>
        <family val="1"/>
      </rPr>
      <t>Rövid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lejáratú hitelek törlesztése</t>
    </r>
  </si>
  <si>
    <r>
      <t xml:space="preserve">    </t>
    </r>
    <r>
      <rPr>
        <sz val="8"/>
        <rFont val="Times New Roman"/>
        <family val="1"/>
      </rPr>
      <t>Hosszú lejáratú hitelek felvétele</t>
    </r>
  </si>
  <si>
    <r>
      <t xml:space="preserve">   </t>
    </r>
    <r>
      <rPr>
        <sz val="8"/>
        <rFont val="Times New Roman"/>
        <family val="1"/>
      </rPr>
      <t xml:space="preserve"> Rövid lejáratú hitelek felvétele</t>
    </r>
  </si>
  <si>
    <r>
      <t xml:space="preserve">    Finanszírozási bevételek összesen </t>
    </r>
    <r>
      <rPr>
        <sz val="8"/>
        <rFont val="Times New Roman"/>
        <family val="1"/>
      </rPr>
      <t>(37+38+40+41)</t>
    </r>
  </si>
  <si>
    <r>
      <t xml:space="preserve">    Pénzforgalmi bevételek </t>
    </r>
    <r>
      <rPr>
        <sz val="8"/>
        <rFont val="Times New Roman"/>
        <family val="1"/>
      </rPr>
      <t>(36+42)</t>
    </r>
  </si>
  <si>
    <t>Sor-    szám</t>
  </si>
  <si>
    <t>Záró pénzkészlet</t>
  </si>
  <si>
    <t>Forgatási célú pénzügyi műveletek egyenlege</t>
  </si>
  <si>
    <t>Egyéb aktív és passzív pénzügyi</t>
  </si>
  <si>
    <t>elszámolások összevont</t>
  </si>
  <si>
    <t xml:space="preserve">      </t>
  </si>
  <si>
    <t>záróegyenlege ( + - )</t>
  </si>
  <si>
    <t>Előző év(ek)ben képzett</t>
  </si>
  <si>
    <t xml:space="preserve"> tartalékok maradványa  ( - )</t>
  </si>
  <si>
    <t xml:space="preserve"> Vállalkozási tevékenység pénzforgalmi</t>
  </si>
  <si>
    <t xml:space="preserve">  vállalkozási maradványa  ( - )</t>
  </si>
  <si>
    <t>Tárgyévi helyesbített</t>
  </si>
  <si>
    <t xml:space="preserve">       </t>
  </si>
  <si>
    <t>pénzmaradvány</t>
  </si>
  <si>
    <t>(1+2+-3-4-5)</t>
  </si>
  <si>
    <t>Finanszírozásból származó</t>
  </si>
  <si>
    <t>korrekciók  ( + - )</t>
  </si>
  <si>
    <t>Pénzmaradványt terhelő</t>
  </si>
  <si>
    <t>elvonások  ( + - )</t>
  </si>
  <si>
    <t>Költségvetési pénzmaradvány</t>
  </si>
  <si>
    <t>(6+-7+-8)</t>
  </si>
  <si>
    <t>Vállalkozási maradványból</t>
  </si>
  <si>
    <t>az alaptevékenység</t>
  </si>
  <si>
    <t xml:space="preserve">     </t>
  </si>
  <si>
    <t xml:space="preserve"> ellátására felhasznált összeg</t>
  </si>
  <si>
    <t>Költségvetési pénzmaradványt</t>
  </si>
  <si>
    <t>külön jogszabály alapján</t>
  </si>
  <si>
    <t>módosító tétel  ( + - )</t>
  </si>
  <si>
    <t>Módosított pénzmaradvány</t>
  </si>
  <si>
    <t>A 12. sorból az                             - egészségbiztosítási alapból folyósított pénzmaradvány</t>
  </si>
  <si>
    <t>- kötelezettséggel terhelt pénzmaradvány</t>
  </si>
  <si>
    <t>Ebből: Működési célú</t>
  </si>
  <si>
    <t xml:space="preserve">           Felhalmozási célú</t>
  </si>
  <si>
    <t xml:space="preserve"> - szabad pénzmaradvány</t>
  </si>
  <si>
    <t>*    Az előző évet érintő és a könyvekben tárgyévben rögzített módosítások</t>
  </si>
  <si>
    <t xml:space="preserve">Előző évi </t>
  </si>
  <si>
    <t>Auditálási</t>
  </si>
  <si>
    <t>Előző évi auditált</t>
  </si>
  <si>
    <t xml:space="preserve">Tárgy évi </t>
  </si>
  <si>
    <t>Tárgyévi auditált</t>
  </si>
  <si>
    <t>költségvetési</t>
  </si>
  <si>
    <t>eltérések</t>
  </si>
  <si>
    <t>egyszerűsitett</t>
  </si>
  <si>
    <t>költsévetési</t>
  </si>
  <si>
    <t>beszámoló záró</t>
  </si>
  <si>
    <t>( +/- )</t>
  </si>
  <si>
    <t>beszámoló</t>
  </si>
  <si>
    <t>(+/- )</t>
  </si>
  <si>
    <t>adatai</t>
  </si>
  <si>
    <t>záró adatai</t>
  </si>
  <si>
    <t>Vállalkozási tevékenység  működési célú bevételei</t>
  </si>
  <si>
    <t>Vállalkozási tevékenység felhalmozási célú bevételei</t>
  </si>
  <si>
    <t>Vállalkozási maradványban figyelembe vehető finanszírozási bevételek</t>
  </si>
  <si>
    <t>A</t>
  </si>
  <si>
    <t>Vállalkozási tevékenység szakfeladaton elszámolt bevételei (1+2+-3)</t>
  </si>
  <si>
    <t>Vállalkozási tevékenység működési célú kiadásai</t>
  </si>
  <si>
    <t xml:space="preserve">Vállalkozási tevékenység felhalmozási célú kiadásai </t>
  </si>
  <si>
    <t>Vállalkozási maradványban figyelembe vehető finanszírozási kiadások</t>
  </si>
  <si>
    <t>B</t>
  </si>
  <si>
    <t>Vállalkozási tevékenység szakfeladaton elszámolt kiadásai (4+5+-6)</t>
  </si>
  <si>
    <t>C</t>
  </si>
  <si>
    <t>Vállalkozási tevékenység pénzforgalmi maradványa (A-B)</t>
  </si>
  <si>
    <t>Vállalkozási tevékenységet terhelő értékcsökkenési leírás</t>
  </si>
  <si>
    <t>Alaptevékenység ellátására felhasznált és felhasználni tervezett vállalkozási maradvány</t>
  </si>
  <si>
    <t>Pénzforgalmi maradványt jogszabály alapján módosító egyéb tétel</t>
  </si>
  <si>
    <t>Vállalkozási tevékenység módosított pénzforgalmi vállalkozási maradványa (C-7-8+9)</t>
  </si>
  <si>
    <t xml:space="preserve">E </t>
  </si>
  <si>
    <t>Vállalkozási tevékenységet terhelő befizetési kötelezettség</t>
  </si>
  <si>
    <t>Vállalkozási tartalékba helyezendő összeg (C-8-9-E)</t>
  </si>
  <si>
    <t>VAGYONKIMUTATÁS TAGOLÁSA A KÖNYVVITELI MÉRLEGBEN SZEREPLŐ ADATOK ALAPJÁN</t>
  </si>
  <si>
    <t>A) BEFEKTETETT ESZKÖZÖK</t>
  </si>
  <si>
    <t xml:space="preserve">   I.   IMMATERIÁLIS JAVAK</t>
  </si>
  <si>
    <t xml:space="preserve">         1. Alapítás-átszervezés aktivált értéke</t>
  </si>
  <si>
    <t xml:space="preserve">         2. Kísérleti fejlesztés aktivált értéke</t>
  </si>
  <si>
    <t xml:space="preserve">         3. Vagyoni értékű jogok</t>
  </si>
  <si>
    <t xml:space="preserve">         4. Szellemi termékek</t>
  </si>
  <si>
    <t xml:space="preserve">         5. Immateriális javakra adott előlegek</t>
  </si>
  <si>
    <t xml:space="preserve">         6. Immateriális javak értékhelyesbítése</t>
  </si>
  <si>
    <t xml:space="preserve">   II.  TÁRGYI ESZKÖZÖK</t>
  </si>
  <si>
    <t xml:space="preserve">         1. Ingatlanok és a kapcsolódó vagyoni értékű jogok</t>
  </si>
  <si>
    <t xml:space="preserve">         2. Gépek, berendezések és felszerelések</t>
  </si>
  <si>
    <t xml:space="preserve">         3. Járművek</t>
  </si>
  <si>
    <t xml:space="preserve">         4. Tenyészállatok</t>
  </si>
  <si>
    <t xml:space="preserve">         5. Beruházások, felújítások</t>
  </si>
  <si>
    <t xml:space="preserve">         6. Beruházásra adott előlegek</t>
  </si>
  <si>
    <t xml:space="preserve">         7. Állami készletek, tartalékok</t>
  </si>
  <si>
    <t xml:space="preserve">         8. Tárgyi eszközök értékhelyesbítése</t>
  </si>
  <si>
    <t xml:space="preserve">   III. BEFEKTETETT PÉNZÜGYI ESZKÖZÖK</t>
  </si>
  <si>
    <t xml:space="preserve">         1. Tartós részesedés</t>
  </si>
  <si>
    <t xml:space="preserve">         2. Tartós hitelviszonyt megtestesítő értékpapír</t>
  </si>
  <si>
    <t xml:space="preserve">         3. Tartósan adott kölcsön</t>
  </si>
  <si>
    <t xml:space="preserve">         4. Hosszú lejáratú bankbetétek</t>
  </si>
  <si>
    <t xml:space="preserve">         5. Egyéb hosszúlejáratú követelések</t>
  </si>
  <si>
    <t xml:space="preserve">         6. Befektetett pénzügyi eszközök értékhelyesbítése</t>
  </si>
  <si>
    <t xml:space="preserve">         1. Üzemeltetésre, kezelésre átadott eszközök</t>
  </si>
  <si>
    <t xml:space="preserve">         2. Koncesszióba adott eszközök</t>
  </si>
  <si>
    <t xml:space="preserve">         3. Vagyonkezelésbe adott eszközök</t>
  </si>
  <si>
    <t xml:space="preserve">         4. Vagyonkezelésbe vett eszközök</t>
  </si>
  <si>
    <t xml:space="preserve">         5. Üzemeltetésre, kezelésre átadott, koncesszióba adott, vagyonkezelésbe vett eszközök értékhelyesbítése</t>
  </si>
  <si>
    <t xml:space="preserve">   I.   KÉSZLETEK</t>
  </si>
  <si>
    <t xml:space="preserve">         1. Anyagok</t>
  </si>
  <si>
    <t xml:space="preserve">         2. Befejezetlen termelés és félkész termékek</t>
  </si>
  <si>
    <t xml:space="preserve">         3. Növendék-, hízó és egyéb állatok</t>
  </si>
  <si>
    <t xml:space="preserve">         4. Késztermékek</t>
  </si>
  <si>
    <t xml:space="preserve">   II.  KÖVETELÉSEK</t>
  </si>
  <si>
    <t xml:space="preserve">         1. Követelések áruszállításból, szolgálttaásokból (vevők)</t>
  </si>
  <si>
    <t xml:space="preserve">         2. Adósok</t>
  </si>
  <si>
    <t xml:space="preserve">         3. Rövid lejáratú kölcsönök</t>
  </si>
  <si>
    <t xml:space="preserve">         4. Egyéb követelések</t>
  </si>
  <si>
    <t xml:space="preserve">                      - egyéb hosszú lejáratú követelésekből a mérlegfordulónapot követő egy éven belül esedékes részletek</t>
  </si>
  <si>
    <t xml:space="preserve">                      - nemzetközi támogatási programok miatti követelések</t>
  </si>
  <si>
    <t xml:space="preserve">                    '- támogatási program előlegek</t>
  </si>
  <si>
    <t xml:space="preserve">                    '- előfinanszírozás miatti követelések</t>
  </si>
  <si>
    <t xml:space="preserve">                     - támogatási programok szabálytalan kifizetése miatti követelések</t>
  </si>
  <si>
    <t xml:space="preserve">                       - garancia- és kezességvállalásból származó követelések</t>
  </si>
  <si>
    <t xml:space="preserve">   III. ÉRTÉKPAPÍROK</t>
  </si>
  <si>
    <t xml:space="preserve">      1. Forgatási célú részesedés</t>
  </si>
  <si>
    <t xml:space="preserve">      1/a. Forgatási célú részesedés bekerülési értéke</t>
  </si>
  <si>
    <t xml:space="preserve">      1/b. Forgatási célú részesedés elszámolt értékvesztése</t>
  </si>
  <si>
    <t xml:space="preserve">         2. Forgatási célú hitelviszonyt megtestesítő értékpapírok</t>
  </si>
  <si>
    <t xml:space="preserve">         2/a. Forgatási célú hitelviszonyt megtestesítő értékpapír bekerülési értéke</t>
  </si>
  <si>
    <t xml:space="preserve">         2/b. Forgatási célú hitelviszonyt megtestesítő értékpapír elszámolt értékvesztése</t>
  </si>
  <si>
    <t xml:space="preserve">   IV. PÉNZESZKÖZÖK</t>
  </si>
  <si>
    <t xml:space="preserve">         1. Pénztárak, csekkek, betétkönyvek</t>
  </si>
  <si>
    <t>Tárgyi eszközök, immateriális javak, ingatlanok értékesítése</t>
  </si>
  <si>
    <t>Intézményi kötött pénzmaradvány (1-5. sorok) kiadási megtakarításból</t>
  </si>
  <si>
    <t xml:space="preserve">         2. Költségvetési pénzforgalmi számlák</t>
  </si>
  <si>
    <t xml:space="preserve">         3. Elszámolási számlák</t>
  </si>
  <si>
    <t xml:space="preserve">         4. Idegen pénzeszközök </t>
  </si>
  <si>
    <t xml:space="preserve">   V.  EGYÉB AKTÍV PÉNZÜGYI ELSZÁMOLÁSOK</t>
  </si>
  <si>
    <t xml:space="preserve">         1. Költségvetési aktív függő elszámolások</t>
  </si>
  <si>
    <t xml:space="preserve">         2. Költségvetési aktív átfutó elszámolások</t>
  </si>
  <si>
    <t xml:space="preserve">         3. Költségvetési aktív kiegyenlítő elszámolások</t>
  </si>
  <si>
    <t xml:space="preserve">         4. Költségvetésen kívüli aktív pénzügyi elszámolások</t>
  </si>
  <si>
    <t xml:space="preserve"> A) TÖRZSVAGYON</t>
  </si>
  <si>
    <t xml:space="preserve">  I.  FORGALOMKÉPTELEN TÖRZSVAGYON</t>
  </si>
  <si>
    <t xml:space="preserve">         -helyi közútak és műtárgyaik, ezek tartozékai</t>
  </si>
  <si>
    <t xml:space="preserve">         - terek, parkok</t>
  </si>
  <si>
    <t xml:space="preserve">         - vizek és vízi közműnek nem minősülő közcélú vízi létesítmény</t>
  </si>
  <si>
    <t xml:space="preserve">         - egyéb forgalomképtelen ingatlanvagyon</t>
  </si>
  <si>
    <t xml:space="preserve">         - levéltári anyagok, tervtárak, terv-, térkép és iratanyag</t>
  </si>
  <si>
    <t xml:space="preserve">         - forgalomképtelen vagyonhoz tartozó ingó és egyéb vagyon</t>
  </si>
  <si>
    <t xml:space="preserve">         - közművek</t>
  </si>
  <si>
    <t xml:space="preserve">         - muzeális gyűjtemény és emlék</t>
  </si>
  <si>
    <t xml:space="preserve">         - sportpályák és sportcélú létesítmények</t>
  </si>
  <si>
    <t xml:space="preserve">         - köztemetők</t>
  </si>
  <si>
    <t xml:space="preserve">         - korlátozottan forgalomképes egyéb ingatlanvagyon (kezelésbe adott)</t>
  </si>
  <si>
    <t xml:space="preserve">         - ingatlanokhoz kapcsolódó korlátozottan forgalomképes vagyoni értékű jogok</t>
  </si>
  <si>
    <t xml:space="preserve">         - az önkormányzat képviselő-testülete által korlátozottan forgalomképesnek minősített befektetett pénzügyi eszközök</t>
  </si>
  <si>
    <t>B) TÖRZSVAGYONON KÍVÜL EGYÉB , FORGALOMKÉPES VAGYON</t>
  </si>
  <si>
    <t xml:space="preserve">   I.  TÖRZSVAGYON KÖRÉBE NEM TARTOZÓ INGATLANOK</t>
  </si>
  <si>
    <t xml:space="preserve">   II.  TÖRZSVAGYON KÖRÉBE NEM TARTOZÓ INGÓ VAGYON</t>
  </si>
  <si>
    <t>(*) A kataszteri nyilvántartás bruttó értékei alapján</t>
  </si>
  <si>
    <t>A KÖNYVVITELI MÉRLEGBEN NEM SZEREPLŐ ESZKÖZÖK ÉS KÖTELEZETTSÉGEK KIEMELT TÉTELEI</t>
  </si>
  <si>
    <t xml:space="preserve">  I.  A "O"-RA LEÍRT DE HASZNÁLATBAN LÉVŐ, ILLETVE HASZNÁLATON KÍVÜLI ESZKÖZÖK ÁLLOMÁNYA</t>
  </si>
  <si>
    <t xml:space="preserve"> III.  A MÉRLEGBEN ÉRTÉKKEL NEM SZEREPLŐ KÖTELEZETTSÉGEK, IDEÉRTVE A KEZESSÉG- ILLETVE GARANCIA VÁLLALÁSSAL KAPCSOLATOS FÜGGŐ KÖTELEZETTSÉGEKET</t>
  </si>
  <si>
    <r>
      <t xml:space="preserve">   IV. ÜZEMELTETÉSRE, </t>
    </r>
    <r>
      <rPr>
        <sz val="7"/>
        <rFont val="Times New Roman CE"/>
        <family val="1"/>
      </rPr>
      <t>KEZELÉSRE ÁTADOTT, KONCESSZIÓBA ADOTT, VAGYONKEZELÉSBE VETT ESZKÖZÖK</t>
    </r>
  </si>
  <si>
    <r>
      <t>VAGYONKIMUTATÁS TAGOLÁSA AZ ÖNKORMÁNYZAT ÁLTAL ELLÁTOTT FELADATOKHOZ VALÓ VISZONYA SZERINT</t>
    </r>
    <r>
      <rPr>
        <b/>
        <sz val="8"/>
        <rFont val="Times New Roman CE"/>
        <family val="1"/>
      </rPr>
      <t xml:space="preserve"> (*)</t>
    </r>
  </si>
  <si>
    <r>
      <t xml:space="preserve">  II.  KORLÁTOZOTTAN FORGALOMKÉPES </t>
    </r>
    <r>
      <rPr>
        <sz val="7"/>
        <rFont val="Times New Roman CE"/>
        <family val="1"/>
      </rPr>
      <t>TÖRZSVAGYON</t>
    </r>
  </si>
  <si>
    <r>
      <t xml:space="preserve">  II.  ÖNKORMÁNYZAT TULAJDONÁBA LÉVŐ, A KÜLÖN JOGSZABÁLY ALAPJÁN A SZAKMAI NYILVÁNTARTÁSBAN SZEREPLŐ ÉRTÉK NÉLKÜL NYILVÁNTARTOTT ESZKÖZÖK ÁLLOMÁNYA </t>
    </r>
    <r>
      <rPr>
        <sz val="7"/>
        <rFont val="Times New Roman CE"/>
        <family val="1"/>
      </rPr>
      <t>(képzőművészeti alkotások, régészeti leletek, kép- és hangarchívumok, gyűjtemények, kulturális javak)</t>
    </r>
  </si>
  <si>
    <t xml:space="preserve">Fejlesztési cél megnevezése </t>
  </si>
  <si>
    <t>Fejlesztési cél teljes összege (ezer Ft)</t>
  </si>
  <si>
    <t>Fejlesztési cél tárgyévi előirányzata (ezer Ft)</t>
  </si>
  <si>
    <t>Adósságot keletkeztető ügylet megnevezése</t>
  </si>
  <si>
    <t>Felvétel tervezett éve</t>
  </si>
  <si>
    <t>Lejárat tervezett éve</t>
  </si>
  <si>
    <t>Ügylet várható együttes összege (ezer Ft)</t>
  </si>
  <si>
    <t>…</t>
  </si>
  <si>
    <t>ügyek száma (db)</t>
  </si>
  <si>
    <t>összeg (Ft)</t>
  </si>
  <si>
    <t>Bölcsődei ellátásnál</t>
  </si>
  <si>
    <t>lakosság részére lakásépítéshez, felújításhoz nyújtott kölcsön elengedése</t>
  </si>
  <si>
    <t>helyi adónál, gépjárműadónál biztosított kedvezmény, mentesség összege adónemenként (1.+2.+3.)</t>
  </si>
  <si>
    <t>Bírság</t>
  </si>
  <si>
    <t>Magánszemélyek kommunális adója</t>
  </si>
  <si>
    <t>Pótlékok</t>
  </si>
  <si>
    <t>1. ÖSSZESEN</t>
  </si>
  <si>
    <t>2. ÖSSZESEN</t>
  </si>
  <si>
    <t>helyiségek, eszközök hasznosításából származó bevételből nyújtott kedvezmény, mentesség</t>
  </si>
  <si>
    <t>órák száma</t>
  </si>
  <si>
    <t>Térítésmentes használók</t>
  </si>
  <si>
    <t>50%-os kedvezménnyel - szabadidősport</t>
  </si>
  <si>
    <t>75%-os kedvezménnyel - diáksport</t>
  </si>
  <si>
    <t>Városi Teremlabdarúgó Bajnokság</t>
  </si>
  <si>
    <t>Szilveszter Kupa</t>
  </si>
  <si>
    <t>1., 2. és 3. ÖSSZESEN</t>
  </si>
  <si>
    <t>egyéb nyújtott kedvezmény, vagy kölcsön elengedése</t>
  </si>
  <si>
    <t>létszám</t>
  </si>
  <si>
    <t>50 %-os belépődíjkedvezmény</t>
  </si>
  <si>
    <t>100 %-os belépődíjkedvezmény</t>
  </si>
  <si>
    <t>könyvtári beiratkozási díj esetében nyújtott</t>
  </si>
  <si>
    <t>50%-os kedvezmény (pedagógusok, nyugdíjasok részére)</t>
  </si>
  <si>
    <t>100%-os kedvezmény (70 év felett, egy alkalommal 16. életévig)</t>
  </si>
  <si>
    <t>Mindösszesen (A+B+C+D+E):</t>
  </si>
  <si>
    <t>Szöveges indoklás:</t>
  </si>
  <si>
    <r>
      <t>adóelengedések méltányosságból</t>
    </r>
    <r>
      <rPr>
        <u val="single"/>
        <vertAlign val="superscript"/>
        <sz val="9"/>
        <rFont val="Arial"/>
        <family val="2"/>
      </rPr>
      <t>2</t>
    </r>
  </si>
  <si>
    <r>
      <t>adókedvezmények</t>
    </r>
    <r>
      <rPr>
        <u val="single"/>
        <vertAlign val="superscript"/>
        <sz val="9"/>
        <rFont val="Arial"/>
        <family val="2"/>
      </rPr>
      <t>3</t>
    </r>
  </si>
  <si>
    <r>
      <t>Kommunális beruházás miatt igénybevett kedvezmény</t>
    </r>
    <r>
      <rPr>
        <vertAlign val="superscript"/>
        <sz val="9"/>
        <rFont val="Arial"/>
        <family val="2"/>
      </rPr>
      <t>4</t>
    </r>
  </si>
  <si>
    <r>
      <t>Sportcsarnok</t>
    </r>
    <r>
      <rPr>
        <vertAlign val="superscript"/>
        <sz val="9"/>
        <rFont val="Arial"/>
        <family val="2"/>
      </rPr>
      <t>5</t>
    </r>
  </si>
  <si>
    <r>
      <t>Sportpálya</t>
    </r>
    <r>
      <rPr>
        <vertAlign val="superscript"/>
        <sz val="9"/>
        <rFont val="Arial"/>
        <family val="2"/>
      </rPr>
      <t>5</t>
    </r>
  </si>
  <si>
    <r>
      <t>Petőfi Sándor Művelődési Központ épületét használó civil szervezetek</t>
    </r>
    <r>
      <rPr>
        <vertAlign val="superscript"/>
        <sz val="9"/>
        <rFont val="Arial"/>
        <family val="2"/>
      </rPr>
      <t>6</t>
    </r>
  </si>
  <si>
    <r>
      <t xml:space="preserve">múzeumi belépődíjak esetében nyújtott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:</t>
    </r>
  </si>
  <si>
    <r>
      <t xml:space="preserve">alapfokú művészetoktatási intézményben a tandíjmentesség </t>
    </r>
    <r>
      <rPr>
        <vertAlign val="superscript"/>
        <sz val="9"/>
        <rFont val="Arial"/>
        <family val="2"/>
      </rPr>
      <t>8</t>
    </r>
  </si>
  <si>
    <r>
      <t xml:space="preserve">2 </t>
    </r>
    <r>
      <rPr>
        <sz val="8"/>
        <rFont val="Times New Roman"/>
        <family val="1"/>
      </rPr>
      <t xml:space="preserve">A méltányosságból történő adótörlés az adózás rendjéről szóló 2003. évi XCII. törvényben meghatározott feltételek megléte esetében kerül alkalmazásra. </t>
    </r>
  </si>
  <si>
    <r>
      <t xml:space="preserve">3 </t>
    </r>
    <r>
      <rPr>
        <sz val="8"/>
        <rFont val="Times New Roman"/>
        <family val="1"/>
      </rPr>
      <t xml:space="preserve">Magánszemélyek kommunális adójáról szóló 9/1991. (X.3.) önkormányzati rendeletben foglalt adókedvezmények: kommunális adó esetén 62 év felettiek kedvezménye.                                     </t>
    </r>
  </si>
  <si>
    <r>
      <t xml:space="preserve">4 </t>
    </r>
    <r>
      <rPr>
        <sz val="8"/>
        <rFont val="Times New Roman"/>
        <family val="1"/>
      </rPr>
      <t>Magánszemélyek kommunális adójáról szóló 9/1991. (X.3.) önkormányzati rendelet alapján mentes a kommunális adó alól a magánszemély tulajdonában lévő nem lakás céljára szolgáló építmény a gépjárműtároló kivételével.</t>
    </r>
  </si>
  <si>
    <r>
      <t xml:space="preserve">5 </t>
    </r>
    <r>
      <rPr>
        <sz val="8"/>
        <rFont val="Times New Roman"/>
        <family val="1"/>
      </rPr>
      <t>A kedvezmény a szervezetek sporttevékenységének a helyi sportfeladatok meghatározásáról és ellátásáról szóló 9/2012. (III. 30.) önkormányzati rendelet alapján biztosított helyiségek bérleti díja alapján került meghatározásra.</t>
    </r>
  </si>
  <si>
    <r>
      <t xml:space="preserve">6 </t>
    </r>
    <r>
      <rPr>
        <sz val="8"/>
        <rFont val="Times New Roman"/>
        <family val="1"/>
      </rPr>
      <t>Helyi közművelődési feladatok meghatározásáról szóló többször módosított 4/1999. (IV.1.) önk.rendelet 6.§-a.</t>
    </r>
  </si>
  <si>
    <r>
      <t xml:space="preserve">7  </t>
    </r>
    <r>
      <rPr>
        <sz val="8"/>
        <rFont val="Times New Roman"/>
        <family val="1"/>
      </rPr>
      <t>Kedvezmény a muzeális intézmények látogatóit megillető kedvezményekről szóló 194/2000. (XI.24.) Korm.rendelet alapján.</t>
    </r>
  </si>
  <si>
    <t>Ft-ban</t>
  </si>
  <si>
    <t>Állami hozzájárulás jogcíme</t>
  </si>
  <si>
    <t xml:space="preserve">Eredeti </t>
  </si>
  <si>
    <t>Évközi változások (+,-)</t>
  </si>
  <si>
    <t>Tényleges</t>
  </si>
  <si>
    <t>Eltérés</t>
  </si>
  <si>
    <t>mutató-szám</t>
  </si>
  <si>
    <t>állami hozzájárulás</t>
  </si>
  <si>
    <t>I. 31. űrlap: A normatív hozzájárulások</t>
  </si>
  <si>
    <t>Települési önk. feladatai - sport, igazgatás, településüzemeltetés</t>
  </si>
  <si>
    <t>Körzeti igazgatás</t>
  </si>
  <si>
    <t>Alap hozzájárulás</t>
  </si>
  <si>
    <t>Okmányiroda működési kiadásai</t>
  </si>
  <si>
    <t>Gyámügyi igazgatási feladatok</t>
  </si>
  <si>
    <t>Építésügyi igazgatási feladatok</t>
  </si>
  <si>
    <t>Kiegészítő hozzájár. Építésügyi ig-i fel-hoz</t>
  </si>
  <si>
    <t>Lakott külterülettel kapcsolatos feladatok</t>
  </si>
  <si>
    <t>Lakossági folyékony hulladék ártalmatlanítása</t>
  </si>
  <si>
    <t>Üdülőhelyi feladatok</t>
  </si>
  <si>
    <t>Pénzbeli szociális juttatások</t>
  </si>
  <si>
    <t>Szociális és gyermekjóléti alap-szolgáltatás</t>
  </si>
  <si>
    <t>Családsegítés</t>
  </si>
  <si>
    <t>Gyermekjóléti szolgálat</t>
  </si>
  <si>
    <t>Gyermekek napközbeni ellátása</t>
  </si>
  <si>
    <t>Bölcsődei ellátás</t>
  </si>
  <si>
    <t>Ingyenes int. étkeztetés</t>
  </si>
  <si>
    <t>Közoktatás</t>
  </si>
  <si>
    <t>Alapfokú művészetoktatás zene 8hó</t>
  </si>
  <si>
    <t>Alapfokú művészetoktatás tánc 8hó</t>
  </si>
  <si>
    <t>Alapfokú művészetoktatás zene 4hó</t>
  </si>
  <si>
    <t>Alapfokú művészetoktatás tánc 4hó</t>
  </si>
  <si>
    <t>I. 31. űrlap összesen:</t>
  </si>
  <si>
    <t>Pedagógus továbbképzés</t>
  </si>
  <si>
    <t>Osztályfőnöki pótlék</t>
  </si>
  <si>
    <t>Pénzkészlet változás:</t>
  </si>
  <si>
    <t>Pénzkészlet január 1-jén:</t>
  </si>
  <si>
    <t>Pénzkészlet a tárgyidőszak végén:</t>
  </si>
  <si>
    <t>- ebből: előző évek tartaléka</t>
  </si>
  <si>
    <t xml:space="preserve">- működési </t>
  </si>
  <si>
    <t xml:space="preserve">- felhalmozási </t>
  </si>
  <si>
    <t>-ebből: pénzmaradvány</t>
  </si>
  <si>
    <t>Eredeti előirányzat</t>
  </si>
  <si>
    <t>Általános tartalékok</t>
  </si>
  <si>
    <t>TARTALÉKOK TERHÉRE BIZTOSÍTOTT TÁMOGATÁSOK MEGNEVEZÉSE</t>
  </si>
  <si>
    <t>CÉLTARTALÉKOK</t>
  </si>
  <si>
    <t>TARTALÉKOK VÁLTOZÁSA ÖSSZESEN</t>
  </si>
  <si>
    <t>(1.)</t>
  </si>
  <si>
    <t>(2.)</t>
  </si>
  <si>
    <t>(3.)</t>
  </si>
  <si>
    <t>(4.)</t>
  </si>
  <si>
    <t>(5.)</t>
  </si>
  <si>
    <t>EREDETI ELŐIRÁNYZAT</t>
  </si>
  <si>
    <t>MÓDOSÍTOTT ELŐIRÁNYZAT</t>
  </si>
  <si>
    <r>
      <t>Kiskőrösi Többcélú Kistérségi Társulás Kiskőrösi és Császártöltési Idősek Otthona TIOP-3.4.1-11/1 „</t>
    </r>
    <r>
      <rPr>
        <i/>
        <sz val="10"/>
        <rFont val="Times New Roman"/>
        <family val="1"/>
      </rPr>
      <t>Önkormányzati, állami, egyházi, nonprofit fenntartású bentlakásos intézmények korszerűsítése</t>
    </r>
    <r>
      <rPr>
        <sz val="10"/>
        <rFont val="Times New Roman"/>
        <family val="1"/>
      </rPr>
      <t>”  - kölcsön</t>
    </r>
  </si>
  <si>
    <t xml:space="preserve">    ebből: Európai Uniós forrásból finanszírozott támogatással megvalósuló programok, projektek</t>
  </si>
  <si>
    <t>Városi csapadékcsatorna fennmaradási engedély V. ütem</t>
  </si>
  <si>
    <t>Intézményi villamosenergia</t>
  </si>
  <si>
    <t xml:space="preserve">Közfoglalkoztatás </t>
  </si>
  <si>
    <t>Közfoglalkoztatás-szervező</t>
  </si>
  <si>
    <t>Kőrösvíz Kft. - Fürdő bérleti díj</t>
  </si>
  <si>
    <t>Az európai uniós forrásokkal támogatott program megnevezése és a pályázat célja</t>
  </si>
  <si>
    <t>Kiadást finanszírozó források</t>
  </si>
  <si>
    <t>Kiadások összesen</t>
  </si>
  <si>
    <t>Önerő</t>
  </si>
  <si>
    <t>Támogatás megelőlegezése önkormányzati bevételből</t>
  </si>
  <si>
    <t>Hazai - központi támogatás</t>
  </si>
  <si>
    <t>Európai Unió támogatása</t>
  </si>
  <si>
    <t>teljes projekt</t>
  </si>
  <si>
    <t>2009. évi teljesítés</t>
  </si>
  <si>
    <t>Öregszőlői tanyák elbontása</t>
  </si>
  <si>
    <t>2010. évi teljesítés</t>
  </si>
  <si>
    <t>Útépítés</t>
  </si>
  <si>
    <t>Gyermektartásdíj megelőlegezése</t>
  </si>
  <si>
    <t>Ezer Ft - ban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</si>
  <si>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</si>
  <si>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</si>
  <si>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</si>
  <si>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</si>
  <si>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</si>
  <si>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</si>
  <si>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</si>
  <si>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</si>
  <si>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</si>
  <si>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</si>
  <si>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</si>
  <si>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</si>
  <si>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</si>
  <si>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</si>
  <si>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</si>
  <si>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Intézményi működési bevételek</t>
  </si>
  <si>
    <t>2.</t>
  </si>
  <si>
    <t>3.</t>
  </si>
  <si>
    <t>Helyi adók</t>
  </si>
  <si>
    <t>4.</t>
  </si>
  <si>
    <t>5.</t>
  </si>
  <si>
    <t>6.</t>
  </si>
  <si>
    <t>7.</t>
  </si>
  <si>
    <t>8.</t>
  </si>
  <si>
    <t>9.</t>
  </si>
  <si>
    <t>10.</t>
  </si>
  <si>
    <t>11.</t>
  </si>
  <si>
    <t>KIADÁSI ELŐIRÁNYZAT FELHASZNÁLÁS ALAKULÁSA</t>
  </si>
  <si>
    <t>Személyi juttatások</t>
  </si>
  <si>
    <t>Dologi kiadások</t>
  </si>
  <si>
    <t>Felhalmozási célú kiadások</t>
  </si>
  <si>
    <t>Tartalékok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</si>
  <si>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</si>
  <si>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</si>
  <si>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</si>
  <si>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</si>
  <si>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</si>
  <si>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</si>
  <si>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</si>
  <si>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</si>
  <si>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</si>
  <si>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r>
      <t>1</t>
    </r>
    <r>
      <rPr>
        <sz val="8"/>
        <rFont val="Times New Roman"/>
        <family val="1"/>
      </rPr>
      <t xml:space="preserve">A bölcsődei ellátásnál nyújtott kedvezmény </t>
    </r>
    <r>
      <rPr>
        <i/>
        <sz val="8"/>
        <rFont val="Times New Roman"/>
        <family val="1"/>
      </rPr>
      <t>a személyes gondoskodást nyújtó szociális és gyermekjóléti ellátások térítési díjáról</t>
    </r>
    <r>
      <rPr>
        <sz val="8"/>
        <rFont val="Times New Roman"/>
        <family val="1"/>
      </rPr>
      <t xml:space="preserve"> szóló 1/2013. (I.07.) önk. rendeletben meghatározott díjaknál.</t>
    </r>
  </si>
  <si>
    <r>
      <t xml:space="preserve">8 </t>
    </r>
    <r>
      <rPr>
        <sz val="8"/>
        <rFont val="Times New Roman"/>
        <family val="1"/>
      </rPr>
      <t>Mentesség a nemzeti köznevelésről szóló 2011. évi CXC. törvény 16.§-a alapján.</t>
    </r>
  </si>
  <si>
    <r>
      <t>ellátottak térítési díjának, kártérítésének méltányossági alapon történő elengedése</t>
    </r>
    <r>
      <rPr>
        <b/>
        <vertAlign val="superscript"/>
        <sz val="9"/>
        <rFont val="Arial"/>
        <family val="2"/>
      </rPr>
      <t>1</t>
    </r>
  </si>
  <si>
    <t xml:space="preserve">         5. Áruk, betétdíjas göngyölegek, közvetített szolgáltatások</t>
  </si>
  <si>
    <t xml:space="preserve">         6. Követelés fejében átvett eszközök, készletek</t>
  </si>
  <si>
    <t>Zöldterületkezelés, parkfenntartás</t>
  </si>
  <si>
    <t>Tranzakciós illeték</t>
  </si>
  <si>
    <t>Ellátottak pénzbeli juttatása</t>
  </si>
  <si>
    <t>Beruházások</t>
  </si>
  <si>
    <t>Felújítások</t>
  </si>
  <si>
    <t>III.</t>
  </si>
  <si>
    <t>Általános tartalék</t>
  </si>
  <si>
    <t>Céltartalék</t>
  </si>
  <si>
    <t>Ezer Ft-ban</t>
  </si>
  <si>
    <t>M E G N E V E Z É S</t>
  </si>
  <si>
    <t xml:space="preserve">B E V É T E L E K </t>
  </si>
  <si>
    <t>A./</t>
  </si>
  <si>
    <t>B./</t>
  </si>
  <si>
    <t>Bérleti díjak ( közterület, garázs, föld )</t>
  </si>
  <si>
    <t>Helyiség bérleti díjak</t>
  </si>
  <si>
    <t>Krimpeni ház bérleti díja</t>
  </si>
  <si>
    <t>Továbbszámlázott szolgáltatás bevétele</t>
  </si>
  <si>
    <t>Gépjárműadó</t>
  </si>
  <si>
    <t>Személyi jövedelemadó helyben maradó része</t>
  </si>
  <si>
    <t>Talajterhelési díj</t>
  </si>
  <si>
    <t>Részvények értékesítése, hozama</t>
  </si>
  <si>
    <t xml:space="preserve">Önkormányzati adatok   </t>
  </si>
  <si>
    <t>Aktív, passzív egyenlege:</t>
  </si>
  <si>
    <t xml:space="preserve">Polgármesteri Hivatal </t>
  </si>
  <si>
    <t>Önkormányzat</t>
  </si>
  <si>
    <t>Bem József Általános Iskola energetikai felújítása - KEOP-2012-5.5.0/B</t>
  </si>
  <si>
    <t xml:space="preserve">INTÉZMÉNYEK ÖSSZESEN (1-6.sor)       </t>
  </si>
  <si>
    <t>2012. évi tény adat</t>
  </si>
  <si>
    <t>IV.</t>
  </si>
  <si>
    <t>Ápolási díj</t>
  </si>
  <si>
    <t>Időskorúak járadéka</t>
  </si>
  <si>
    <t>Lakásfenntartás támogatása</t>
  </si>
  <si>
    <t>Polgári védelmi feladatok ellátása</t>
  </si>
  <si>
    <t>Mezőőri feladatok ellátására támogatás</t>
  </si>
  <si>
    <t>12.</t>
  </si>
  <si>
    <t>Köztisztaság</t>
  </si>
  <si>
    <t>Közutak üzemeltetése</t>
  </si>
  <si>
    <t>Önkormányzati igazgatási tevékenység</t>
  </si>
  <si>
    <t>Állategészségügy</t>
  </si>
  <si>
    <t>Önkéntes Tűzoltók - biztosítás</t>
  </si>
  <si>
    <t>Hivatásos gondnok</t>
  </si>
  <si>
    <t>Átmeneti segély</t>
  </si>
  <si>
    <t>Gyermektartásdíj</t>
  </si>
  <si>
    <t>Temetkezési feladatok</t>
  </si>
  <si>
    <t>ezer Ft</t>
  </si>
  <si>
    <t>Összes pénzmaradvány és előző évek tartaléka:</t>
  </si>
  <si>
    <t>-működési:</t>
  </si>
  <si>
    <t>-felhalmozási:</t>
  </si>
  <si>
    <t>PPP szolgáltatási díjak és hozzájárulások: szerződés szerint számított összegek. A szolgáltatás megkezdésétől számított 180 hónap, de legkésőbb 2025. március 31.</t>
  </si>
  <si>
    <t>Követelés a tárgyévet követő</t>
  </si>
  <si>
    <t>Aktív, passzív rendezéséhez</t>
  </si>
  <si>
    <t>Visszafizetés</t>
  </si>
  <si>
    <t xml:space="preserve">III. Önkormányzat összesen (1+…+42): </t>
  </si>
  <si>
    <t>Intézménytől jogszabály alapján fenntartói elvonás kiadásmegtakarításból, bevételi többletből (művészetoktatás)</t>
  </si>
  <si>
    <t>Önkormányzati vagyon hasznosítása</t>
  </si>
  <si>
    <t>INTÉZMÉNYI ÖSSZES KÖTÖTT PÉNZMARADVÁNY (I.)</t>
  </si>
  <si>
    <t>sorszám</t>
  </si>
  <si>
    <t>Közművelődési intézmények, közösségi színterek működtetése</t>
  </si>
  <si>
    <t>V.</t>
  </si>
  <si>
    <t>13.</t>
  </si>
  <si>
    <t>VI.</t>
  </si>
  <si>
    <t>VII.</t>
  </si>
  <si>
    <t>VIII.</t>
  </si>
  <si>
    <t>14.</t>
  </si>
  <si>
    <t>15.</t>
  </si>
  <si>
    <t>16.</t>
  </si>
  <si>
    <t>17.</t>
  </si>
  <si>
    <t>18.</t>
  </si>
  <si>
    <t>19.</t>
  </si>
  <si>
    <t>21.</t>
  </si>
  <si>
    <t>K I A DÁ S O K</t>
  </si>
  <si>
    <t>Egyéb felhalmozási célú kiadások</t>
  </si>
  <si>
    <t>Céltartalékok</t>
  </si>
  <si>
    <t>Cím,</t>
  </si>
  <si>
    <t>Cím</t>
  </si>
  <si>
    <t>szám</t>
  </si>
  <si>
    <t>megnevezése</t>
  </si>
  <si>
    <t>Cím ,</t>
  </si>
  <si>
    <t>Személyi</t>
  </si>
  <si>
    <t>Dologi</t>
  </si>
  <si>
    <t>Ellátottak</t>
  </si>
  <si>
    <t>Beruházá-</t>
  </si>
  <si>
    <t>Létszám-</t>
  </si>
  <si>
    <t>Alcím</t>
  </si>
  <si>
    <t xml:space="preserve">             alcím megnevezése</t>
  </si>
  <si>
    <t>kiadások</t>
  </si>
  <si>
    <t>pénzbeli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</si>
  <si>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</si>
  <si>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</si>
  <si>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</si>
  <si>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</si>
  <si>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</si>
  <si>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</si>
  <si>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</si>
  <si>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A.</t>
  </si>
  <si>
    <t>B.</t>
  </si>
  <si>
    <t>Ö S S Z E S E N</t>
  </si>
  <si>
    <t>BERUHÁZÁSOK, FELÚJÍTÁSOK ÉS EGYÉB FELHALMOZÁSI</t>
  </si>
  <si>
    <t xml:space="preserve"> </t>
  </si>
  <si>
    <t>Sor-szám</t>
  </si>
  <si>
    <t>Támogatásértékű bevételek</t>
  </si>
  <si>
    <t>Rendszeres gyermekvédelmi kedvezmény</t>
  </si>
  <si>
    <t>Kiegészítő gyermekvédelmi támogatás</t>
  </si>
  <si>
    <t xml:space="preserve">Ellátottak pénzbeli juttatása </t>
  </si>
  <si>
    <t>Támogatásértékű működési bevételek</t>
  </si>
  <si>
    <t>Sikeres Magyarországért Panel Plusz Hitelprogram</t>
  </si>
  <si>
    <t>Nyugdíjas köztisztviselők juttatásai</t>
  </si>
  <si>
    <t>Lakbértámogatás</t>
  </si>
  <si>
    <t>Átmeneti segély (felnőttek eseti segélyezése)</t>
  </si>
  <si>
    <t>Közgyógy-ellátás</t>
  </si>
  <si>
    <t>Rendkívüli gyermekvédelmi támogatás</t>
  </si>
  <si>
    <t>Köztemetés</t>
  </si>
  <si>
    <t>Kiegészítő gyermekvédelmi  támogatás</t>
  </si>
  <si>
    <t>Temetési segély</t>
  </si>
  <si>
    <t>Mozgáskorlátozottak támogatása</t>
  </si>
  <si>
    <t>Otthonteremtési támogatás</t>
  </si>
  <si>
    <t>Buszváró lakás bérleti díja</t>
  </si>
  <si>
    <t xml:space="preserve">I. </t>
  </si>
  <si>
    <t>Otthonteremtő támogatás</t>
  </si>
  <si>
    <t>Művelődési Ház, Könyvtár fejlesztési célú hitelfelvétel kamattámogatása</t>
  </si>
  <si>
    <t>Alapfokú Művészetoktatás telephelyei általi befizetések</t>
  </si>
  <si>
    <t>Petőfi Sándor Városi Könyvtár</t>
  </si>
  <si>
    <t xml:space="preserve">Városi Alapfokú Művészeti Iskola </t>
  </si>
  <si>
    <t xml:space="preserve">Petőfi Szülőház és Emlékmúzeum </t>
  </si>
  <si>
    <t xml:space="preserve">Városi Alapfokú Művészetoktatási Intézmény </t>
  </si>
  <si>
    <t>Dolgozóknak nyújtott lakásvásárlási-, lakásépítési kölcsön</t>
  </si>
  <si>
    <t>Gondozási szükséglet vizsgálata házi segítségnyújtásnál</t>
  </si>
  <si>
    <t>Jövedelemkülönbség mérséklése</t>
  </si>
  <si>
    <t>Környezetvédelmi bírság</t>
  </si>
  <si>
    <t>Lakossághoz és feladatmutatóhoz kötött normatív hozzájárulás</t>
  </si>
  <si>
    <t>Kiegészítő támogatás egyes közoktatási feladatokhoz</t>
  </si>
  <si>
    <t>Önkormány-zati hozzá-járulás</t>
  </si>
  <si>
    <t>Kötvénykibocsátás - tartalék</t>
  </si>
  <si>
    <t>Finanszírozási kiadások</t>
  </si>
  <si>
    <t>Likvid hitel törlesztése</t>
  </si>
  <si>
    <t xml:space="preserve">      Áruértékesítéshez, szolgáltatásnyújtáshoz kapcsolódó ÁFA befizetések</t>
  </si>
  <si>
    <t>JELLEGŰ KIADÁSOK, TÁMOGATÁSOK ÖSSZESEN</t>
  </si>
  <si>
    <t xml:space="preserve">     Kamat és egyéb hitelfelvételi kiadások (kötvény kivételével)</t>
  </si>
  <si>
    <t>Önkormányzati értékesített bérlakások fizetési részletei</t>
  </si>
  <si>
    <t>Óvodáztatási támogatás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</si>
  <si>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</si>
  <si>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</si>
  <si>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</si>
  <si>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</si>
  <si>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</si>
  <si>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Épületek építése</t>
  </si>
  <si>
    <t>Lakó- és nem lakóépület építése, felújítása</t>
  </si>
  <si>
    <t>Egyéb építmény építése</t>
  </si>
  <si>
    <t>Közutak üzemeltetése, fenntartársa</t>
  </si>
  <si>
    <t xml:space="preserve">     Önkormányzati vagyon hasznosításával kapcsolatos kiadások</t>
  </si>
  <si>
    <t>Zöldterület-kezelés, parkfenntartás, parképítés</t>
  </si>
  <si>
    <t xml:space="preserve">Önkormányzati jogalkotás 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</si>
  <si>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</si>
  <si>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</si>
  <si>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</si>
  <si>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</si>
  <si>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</si>
  <si>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</si>
  <si>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</si>
  <si>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</si>
  <si>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A polgári védelem ágazati feladatai</t>
  </si>
  <si>
    <t>Ár- és belvízvédelemmel összefüggő tevékenységek</t>
  </si>
  <si>
    <t xml:space="preserve">Egyéb oktatást kiegészítő tevékenység </t>
  </si>
  <si>
    <t>Önkormányzati pénzbeli ellátások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</si>
  <si>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</si>
  <si>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</si>
  <si>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</si>
  <si>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</si>
  <si>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Rendszeres gyermekvédelmi pénzbeli ellátás</t>
  </si>
  <si>
    <t>Mozgáskorlátozottak közlekedési támogatása</t>
  </si>
  <si>
    <t>Önkormányzati természetbeni ellátások</t>
  </si>
  <si>
    <t>Egyéb szociális ellátások bentlakás nélkül</t>
  </si>
  <si>
    <t>Önkormányzat által nyújtott lakástámogatások</t>
  </si>
  <si>
    <t>Kulturális műsorok, rendezvények, kiállítások szervezése</t>
  </si>
  <si>
    <t xml:space="preserve">      Szüreti Napok</t>
  </si>
  <si>
    <t>Közművelődési tevékenységek és támogatásuk</t>
  </si>
  <si>
    <t>Szabadidős park, fürdő- és strandszolgáltatás</t>
  </si>
  <si>
    <t>Köztemető fenntartása és működtetése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</si>
  <si>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</si>
  <si>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</si>
  <si>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</si>
  <si>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</si>
  <si>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</si>
  <si>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</si>
  <si>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</si>
  <si>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</si>
  <si>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</si>
  <si>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</si>
  <si>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</si>
  <si>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</si>
  <si>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</si>
  <si>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</si>
  <si>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</si>
  <si>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</si>
  <si>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</si>
  <si>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</si>
  <si>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Pénzforgalom nélküli bevételek</t>
  </si>
  <si>
    <t>Közfoglalkoztatás</t>
  </si>
  <si>
    <t>Lakbérbevételek</t>
  </si>
  <si>
    <t>Temetkezéshez kapcsolódó bevételek</t>
  </si>
  <si>
    <t>Egyéb működési célú kiadások</t>
  </si>
  <si>
    <t>juttatások</t>
  </si>
  <si>
    <t>juttatásai</t>
  </si>
  <si>
    <t>Ellátottak pénzbeli juttatásai</t>
  </si>
  <si>
    <t>Egyéb veszélyes hulladékok kezelése</t>
  </si>
  <si>
    <t>Szennyvíz-kezelés</t>
  </si>
  <si>
    <t xml:space="preserve"> Értékbecslések, tulajdoni lapok, térképkivonatok, vázrajzok, ingatlan-nyilvántartási eljárás díjai</t>
  </si>
  <si>
    <t>Képviselő-testületi ülések, városi rendezvények közvetítése</t>
  </si>
  <si>
    <t xml:space="preserve">Kiskőrösi Többcélú Kistérségi Társulás általános működési támogatása </t>
  </si>
  <si>
    <t xml:space="preserve">     Önkormányzati kötvénnyel kapcsolatos kiadások</t>
  </si>
  <si>
    <t>Mezőgazdaság igazgatási és szabályozási feladatai</t>
  </si>
  <si>
    <t>Köz- és díszvilágítás</t>
  </si>
  <si>
    <t>Oktatási feladatok</t>
  </si>
  <si>
    <t>Kiskőrösi Többcélú Kistérségi Társulás oktatási és nevelési feladatainak támogatása</t>
  </si>
  <si>
    <t>Pályázati támogatások megelőlegezése, önerő</t>
  </si>
  <si>
    <t>BURSA - támogatás önerő</t>
  </si>
  <si>
    <t xml:space="preserve">     PPP tanuszoda szolgáltatási díja</t>
  </si>
  <si>
    <t xml:space="preserve">     PPP tornaterem szolgáltatási díja</t>
  </si>
  <si>
    <t>Kiskőrösi Többcélú Kistérségi Társulás  - Háziorvosi ügyelet támogatása</t>
  </si>
  <si>
    <t xml:space="preserve">Kiskőrösi Többcélú Kiskőrösi Társulás - Idősek, fogyatékossággal élők bentlakásos szociális ellátásának támogatása </t>
  </si>
  <si>
    <t>Állami lakástámogatások jogszabály alapján - Sikeres Magyarországért Panel Plusz</t>
  </si>
  <si>
    <t>Eseti-, ügygondnoki, hivatásos gondnoki megbízási díjak</t>
  </si>
  <si>
    <t>Közművelődési intézmények, közösségi színterek működtetése, Tourinform Iroda működtetése</t>
  </si>
  <si>
    <t>Művelődési Ház, Könyvtár hitel - kamatfizetés</t>
  </si>
  <si>
    <t>Művelődési Ház, Könyvtár hitel - tőketörlesztés</t>
  </si>
  <si>
    <t>Előző évi pénzmaradvány</t>
  </si>
  <si>
    <t>Felhal-mozási</t>
  </si>
  <si>
    <t>-ebből OEP</t>
  </si>
  <si>
    <t>Egyéb köztisztasági tevékenységek</t>
  </si>
  <si>
    <t>Köztisztaság pályáztatás alapján</t>
  </si>
  <si>
    <t>Díszvilágítás</t>
  </si>
  <si>
    <t>Ágazati hatósági jogkörhöz nem köthető bevételek</t>
  </si>
  <si>
    <t>Környezetvédelmi Alap felhasználása</t>
  </si>
  <si>
    <t>Közhatalmi bevételek</t>
  </si>
  <si>
    <t>Önkormányzati bérlakások felújítása, kialakítása - önerő</t>
  </si>
  <si>
    <t>Petőfi tér 3. sz. alatti ingatlan homlokzat felújítása</t>
  </si>
  <si>
    <t>IX.</t>
  </si>
  <si>
    <t>Művelődési Ház füstelvezetés, elektromos javítás</t>
  </si>
  <si>
    <t>23.</t>
  </si>
  <si>
    <t>34.</t>
  </si>
  <si>
    <t>Művelődési Ház hitelfelvétel törlesztése</t>
  </si>
  <si>
    <t>Egyéb felhalmozás célú kiadások</t>
  </si>
  <si>
    <t>Finanszírozás kiadások</t>
  </si>
  <si>
    <t>Költségvetési hiány - belső finanszírozás</t>
  </si>
  <si>
    <t>Költségvetési hiány - külső finanszírozás</t>
  </si>
  <si>
    <t>Költségvetés hiány - külső finanszírozás összesen</t>
  </si>
  <si>
    <t>Költségvetési hiány belső finanszírozás összesen</t>
  </si>
  <si>
    <t>Anyakönyvi eljárás díja</t>
  </si>
  <si>
    <t>Egészségügyi és Gyermekjóléti Intézmény</t>
  </si>
  <si>
    <t>Támogatás-értékű működési bevételek</t>
  </si>
  <si>
    <t>Támogatás-értékű felhalmozási bevételek</t>
  </si>
  <si>
    <t>20.</t>
  </si>
  <si>
    <t>22.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</si>
  <si>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</si>
  <si>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</si>
  <si>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</si>
  <si>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</si>
  <si>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</si>
  <si>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</si>
  <si>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</si>
  <si>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</si>
  <si>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</si>
  <si>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</si>
  <si>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</si>
  <si>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</si>
  <si>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</si>
  <si>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40.</t>
  </si>
  <si>
    <t>39.</t>
  </si>
  <si>
    <t>Közhatalmi bevételek összesen</t>
  </si>
  <si>
    <t>Önkormányzati intézmények bevételei</t>
  </si>
  <si>
    <t>Pénzeszköz átvétel államháztartáson kívülről</t>
  </si>
  <si>
    <t>Felhalmozási célú pénzeszköz átvétel államháztartáson kívülről</t>
  </si>
  <si>
    <t>Működési célú pénzeszköz átvétel államháztartáson kívülről</t>
  </si>
  <si>
    <t>Felhalmozási saját bevételek</t>
  </si>
  <si>
    <t>Önkormányzat költségvetési támogatása</t>
  </si>
  <si>
    <t>Támogatási kölcsönök visszatérülése</t>
  </si>
  <si>
    <t>Támogatási kölcsönök visszatérülése államháztartáson belülről</t>
  </si>
  <si>
    <t>Támogatási kölcsönök visszatérülése államháztartáson kívülről</t>
  </si>
  <si>
    <t xml:space="preserve">Működési célú pénzeszköz átvétel államháztartáson kívülről </t>
  </si>
  <si>
    <t>Egyéb felhalmozási célú kiadások összesen</t>
  </si>
  <si>
    <t>Tartalékok összesen</t>
  </si>
  <si>
    <t>ebből: helyi adók</t>
  </si>
  <si>
    <t>ebből: OEP támogatás</t>
  </si>
  <si>
    <t>k</t>
  </si>
  <si>
    <t>ö</t>
  </si>
  <si>
    <t>k: kötelező feladat, ö: önként vállalt feladata</t>
  </si>
  <si>
    <t xml:space="preserve">Költségvetési hiány - külső finanszírozás </t>
  </si>
  <si>
    <t>Támogatási kölcsönök visszatérülése és igénybevétele</t>
  </si>
  <si>
    <t>Munkaadókat terhelő járulékok és szociális hozzájárulási adó</t>
  </si>
  <si>
    <t>ebből: társadalom-, szociálpolitika és egyéb juttatások, támogatások</t>
  </si>
  <si>
    <t>támogatásértékű kiadások</t>
  </si>
  <si>
    <t>Kölcsönök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</si>
  <si>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</si>
  <si>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</si>
  <si>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</si>
  <si>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</si>
  <si>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 xml:space="preserve">Tartalékok összesen </t>
  </si>
  <si>
    <t>Kölcsönök összesen</t>
  </si>
  <si>
    <t>KIADÁSOK ÖSSZESEN (I+II+III+IV)</t>
  </si>
  <si>
    <t>KIADÁSOK MINDÖSSZESEN (I+II+III+IV+V)</t>
  </si>
  <si>
    <t>Működési költségvetés összesen:</t>
  </si>
  <si>
    <t>járulékok és szociális</t>
  </si>
  <si>
    <t>Felhalmozási költségvetés összesen:</t>
  </si>
  <si>
    <t>Kölcsönök összesen:</t>
  </si>
  <si>
    <t>Kölcsönök nyújtása államháztartáson kívülre</t>
  </si>
  <si>
    <t>Kölcsönök nyújtása államháztartáson belülre</t>
  </si>
  <si>
    <t>KIADÁSOK ÖSSZESEN (I+II+III+IV+V)</t>
  </si>
  <si>
    <t>VI</t>
  </si>
  <si>
    <t>Ebből: kötelező feladatellátás</t>
  </si>
  <si>
    <t>Rendszeres szociális segély</t>
  </si>
  <si>
    <t>Foglalkoztatást helyettesítő támogatás</t>
  </si>
  <si>
    <t xml:space="preserve">Rendszeres szociális segély </t>
  </si>
  <si>
    <t>Gyermektartásdíj támogatása</t>
  </si>
  <si>
    <t>Kiemelt önkormányzati, városi rendezvények, fizetendő jogdíjak</t>
  </si>
  <si>
    <t>Polgármesteri hivatalba eszközök beszerzése</t>
  </si>
  <si>
    <t>A 0560/46. és a 0560/47 hrsz-ú ingatlanokon földút kialakítása</t>
  </si>
  <si>
    <t>Kötvény felhasználása fejlesztési feladatokhoz</t>
  </si>
  <si>
    <t>Polgármesteri Hivatal udvari parkolók kialakítása</t>
  </si>
  <si>
    <t>Pályázatokhoz önerő, pályázatok előkészítő szakaszainak kiadásai</t>
  </si>
  <si>
    <t>LEADER - Térségi rendezvények külterületi feltételeinek biztosítása - önerő</t>
  </si>
  <si>
    <t>Jégelhárító rendszer létesítése</t>
  </si>
  <si>
    <t>Luther tér 1. sz. alatti ingatlan megvásárlása</t>
  </si>
  <si>
    <t>Petőfi Szülőház és Emlékmúzeum felújítás</t>
  </si>
  <si>
    <t>KÖLTSÉGVETÉSI BEVÉTELEK ÖSSZESEN</t>
  </si>
  <si>
    <t xml:space="preserve">  </t>
  </si>
  <si>
    <t>Startmunka mintaprogram  - 100%-ban támogatott</t>
  </si>
  <si>
    <t>Huzamosabb idejű közfoglalkoztatás - 80%-ban támogatott</t>
  </si>
  <si>
    <t>Huzamosabb idejű közfoglalkoztatás - 100%-ban támogatott</t>
  </si>
  <si>
    <t>Kiskőrösi kistérségi Járóbeteg-szakellátó korszerűsítése - DAOP-4.1.1/B-09-2010-0002</t>
  </si>
  <si>
    <t>Belterületi útfejlesztés Kiskőrösön - DAOP-3.1.1/B-09-2009-0015</t>
  </si>
  <si>
    <t>Petőfi Sándor Művelődési Központ felújítása Kiskőrösön - DAOP - 2009-4.1.3/C-09-2009-0008</t>
  </si>
  <si>
    <t>Kiskőrös Város kerékpárút hálózatának komplex fejlesztése - DAOP-3.1.2/A-11-2011-0011</t>
  </si>
  <si>
    <t>Kiskőrös Város szennyvízelvezetésének végleges megoldása  - KEOP-1.2.0/09-11-2011-0042</t>
  </si>
  <si>
    <t>I. Kiskőrös Város Önkormányzata által megvalósított programok, projektek</t>
  </si>
  <si>
    <t>Társulási hozzájárulás</t>
  </si>
  <si>
    <t>2011. évi teljesítés</t>
  </si>
  <si>
    <t>2012. évi terv</t>
  </si>
  <si>
    <t>2013. évi terv</t>
  </si>
  <si>
    <t>Petőfi Sándor Művelődési Központ felújítása Kiskőrösön - DAOP - 4.1.3/C-09-2009-0008</t>
  </si>
  <si>
    <t>Kerékpárút-hálózat fejlesztése - DAOP-3.1.2/A-11-2011-0011</t>
  </si>
  <si>
    <t>LEADER - Térségi rendezvények külterületi feltételeinek biztosítása</t>
  </si>
  <si>
    <t>II.  Kiskőrös Város Önkormányzata támogatásával megvalósuló projektek, programok</t>
  </si>
  <si>
    <t>Önkormányzati hozzájárulás</t>
  </si>
  <si>
    <t>támogatás</t>
  </si>
  <si>
    <t>támogatás megelőlegezése önkormányzati bevételből</t>
  </si>
  <si>
    <t>Kiskőrös Város Önkormányzatának városközpont rehabilitációs projektje - DAOP-5.2.1/A-09-1f-2010-0006</t>
  </si>
  <si>
    <t>Magyarországi Baptista Egyház részére családsegítés normatíva továbbutalása</t>
  </si>
  <si>
    <t>Kiskőrösi Többcélú Kistérségi Társulás - Kerékpárút-hálózat fejlesztése - KÖZOP-3.2.0/C-08-2010-0008</t>
  </si>
  <si>
    <t>Kiskőrösi Többcélú Kistérségi Társulás - Kerékpárút-hálózat fejlesztése - KÖZOP-3.2.0/C-08-2010-0008 megelőlegezés utófinanszírozás miatt</t>
  </si>
  <si>
    <t>Kiskőrös Város kerékpárút hálózatának komplex fejlesztése - DAOP-3.1.2/A-11-2011-001</t>
  </si>
  <si>
    <t>Hivatásos Tűzoltóság laktanya épületének felújítása</t>
  </si>
  <si>
    <t>Kiskőrös, Kossuth utca fejlesztése - DAOP-3.1.1/B-11</t>
  </si>
  <si>
    <t>INTÉZMÉNYEK ÖSSZESEN ( 1. - 5. sorok )</t>
  </si>
  <si>
    <t>Lakó, nem lakóingatlan bérbeadása, üzemeltetése</t>
  </si>
  <si>
    <t>Bács-szakma Zrt. 2012. évi szolgáltatási díj</t>
  </si>
  <si>
    <t>19</t>
  </si>
  <si>
    <t>Tűzoltóság 2011. év decemberi illetményeinek és járulékainak támogatása</t>
  </si>
  <si>
    <t>Pozsonyi utca 2. sz. alatti ingatlan értékesítése</t>
  </si>
  <si>
    <t>Kiskőrösi Többcélú Kistérségi Társulás Kiskőrösi és Császártöltési Idősek Otthona TIOP-3.4.1-11/1 „Önkormányzati, állami, egyházi, nonprofit fenntartású bentlakásos intézmények korszerűsítése”  kölcsön</t>
  </si>
  <si>
    <t>Összesen ( II./1-7.)</t>
  </si>
  <si>
    <t>Európai Uniós forrásból finanszírozott támogatással megvalósuló programok, projektek</t>
  </si>
  <si>
    <t>Európai Uniós forrásból finanszírozott támogatással megvalósuló programokhoz, projektekhez történő hozzájárulás</t>
  </si>
  <si>
    <t>27.</t>
  </si>
  <si>
    <t xml:space="preserve">           támogatásértékű kiadások</t>
  </si>
  <si>
    <t xml:space="preserve">          támogatásértékű kiadások</t>
  </si>
  <si>
    <t>Városközpont rekonstrukció - DAOP-5.2.1/A-09-1f-2010-0006 - önerő</t>
  </si>
  <si>
    <t>Kiskőrös Város szennyvízelvezetésének végleges megoldása  - KEOP-1.2.0/09-11-2011-0042 - önerő</t>
  </si>
  <si>
    <t>Kiskőrös, Kossuth utca fejlesztése - DAOP-3.1.1/B-11. - önerő</t>
  </si>
  <si>
    <t>Az Önkormányzat és a Polgármesteri Hivatal bevételei összesen B / I.+…+VII.</t>
  </si>
  <si>
    <t>Önkormányzat bevételei</t>
  </si>
  <si>
    <t>Polgármesteri Hivatal bevételei</t>
  </si>
  <si>
    <t>FINANSZÍROZÁSI BEVÉTELEK</t>
  </si>
  <si>
    <t>C./</t>
  </si>
  <si>
    <t>Polgármesteri Hivatal közhatalmi bevételei</t>
  </si>
  <si>
    <t>Önkormányzat közhatalmi bevételei</t>
  </si>
  <si>
    <t xml:space="preserve">          Magánszemélyek kommunális adója</t>
  </si>
  <si>
    <t xml:space="preserve">          Idegenforgalmi adó bevételek</t>
  </si>
  <si>
    <t>AZ ÖNKORMÁNYZAT ÉS A POLGÁRMESTERI HIVATAL BEVÉTELEI</t>
  </si>
  <si>
    <t>Polgármesteri Hivatal intézményi működési bevételei összesen</t>
  </si>
  <si>
    <t>Önkormányzat támogatásértékű bevételei</t>
  </si>
  <si>
    <t>Önkormányzat támogatásértékű bevételei összesen</t>
  </si>
  <si>
    <t>Önkormányzat pénzeszköz átvételei államháztartáson kívülről</t>
  </si>
  <si>
    <t>Önkormányzat pénzeszköz átvételei államháztartáson kívülről összesen</t>
  </si>
  <si>
    <t>Önkormányzat felhalmozási saját bevételei</t>
  </si>
  <si>
    <t>Önkormányzat felhalmozási bevételei összesen</t>
  </si>
  <si>
    <t xml:space="preserve">Önkormányzat támogatási kölcsöneinek visszatérülése </t>
  </si>
  <si>
    <t>Önkormányzat támogatási kölcsöneinek visszatérülése összesen</t>
  </si>
  <si>
    <t>Önkormányzat költségvetési támogatása összesen</t>
  </si>
  <si>
    <t>Az Önkormányzat és a Polgármesteri Hivatal bevételei</t>
  </si>
  <si>
    <t>Kötelezettség a tárgyévet követő</t>
  </si>
  <si>
    <t>PPP Tanuszoda szolgáltatási díj</t>
  </si>
  <si>
    <t>PPP Tornaterem szolgáltatási díj</t>
  </si>
  <si>
    <t>Számlavezetési díj</t>
  </si>
  <si>
    <t>1-2.</t>
  </si>
  <si>
    <t xml:space="preserve"> Szociális lakásvásárlás, munkáltatói kölcsönök, belvízkárosult lakások visszatérítendő támogatása</t>
  </si>
  <si>
    <t xml:space="preserve">2012. teljesítés </t>
  </si>
  <si>
    <t>2014. évi terv</t>
  </si>
  <si>
    <t>Csapadék-hálózat fejlesztése - DAOP-5.2.1/A-11</t>
  </si>
  <si>
    <t>HITEL</t>
  </si>
  <si>
    <t>KÖLCSÖN</t>
  </si>
  <si>
    <t>Összesen (15. számú melléklet 8. sor)</t>
  </si>
  <si>
    <t>IV. 51. űrlap: Normatív kötött felhasználású támogatás</t>
  </si>
  <si>
    <t>IV. 51. űrlap összesen:</t>
  </si>
  <si>
    <t xml:space="preserve">33. űrlap: 2012. évi központosított előirányzatok és egyéb kötött felhasználású támogatások </t>
  </si>
  <si>
    <t>SZJA helyben maradó része és a jövedelemkülönbség mérséklése</t>
  </si>
  <si>
    <t>Ivóvíz - befizetés</t>
  </si>
  <si>
    <t>Az Önkormányzat által irányított költségvetési szervek bevételei</t>
  </si>
  <si>
    <t>AZ ÖNKORMÁNYZAT ÁLTAL IRÁNYÍTOTT KÖLTSÉGVETÉSI SZERVEK  BEVÉTELEI</t>
  </si>
  <si>
    <t>Támogatásértékű felhalmozási bevételek saját bevételből, hazai támogatásból megvalósuló programokhoz, projektekhez</t>
  </si>
  <si>
    <t>Támogatásértékű felhalmozási bevételek az Európai Uniós forrásból finanszírozott támogatással megvalósuló programokhoz, projektekhez</t>
  </si>
  <si>
    <t>Kiskőrösi Többcélú Kistérségi Társulás - Kerékpárút-hálózat fejlesztése - KÖZOP-3.2.0/C-08-2010-0008. kölcsön</t>
  </si>
  <si>
    <t xml:space="preserve">Kiskőrösi Többcélú Kistérségi Társulás - TIOP-1.1.1/07/1-2008-0482 kölcsön </t>
  </si>
  <si>
    <t>Az Önkormányzat és a Polgármesteri Hivatal beruházásai</t>
  </si>
  <si>
    <t>Saját bevételből, hazai támogatásból megvalósuló programok, projektek</t>
  </si>
  <si>
    <t>Az Önkormányzat által irányított költségvetési szervek beruházásai</t>
  </si>
  <si>
    <t>Az Önkormányzat és a Polgármesteri Hivatal felújításai</t>
  </si>
  <si>
    <t>Az Önkormányzat által irányított költségvetési szervek felújításai</t>
  </si>
  <si>
    <t xml:space="preserve">II.     </t>
  </si>
  <si>
    <t xml:space="preserve">III.    </t>
  </si>
  <si>
    <t>Mindösszesen (I.+II.+III.):</t>
  </si>
  <si>
    <t>Magánszemélyek kommunális adója (62 év felettiek)</t>
  </si>
  <si>
    <t>Gépjárműadó (mozgáskorlátozottak)</t>
  </si>
  <si>
    <t xml:space="preserve">Iparűzési adó </t>
  </si>
  <si>
    <t>Az Önkormányzat és a Polgármesteri Hivatal egyéb felhalmozási célú kiadásai</t>
  </si>
  <si>
    <t>Az Önkormányzat által irányított költségvetési szervek egyéb felhalmozási célú kiadásai</t>
  </si>
  <si>
    <r>
      <t>Kiskőrösi Többcélú Kistérségi Társulás - DAOP-4.2.1-11 „</t>
    </r>
    <r>
      <rPr>
        <i/>
        <sz val="10"/>
        <rFont val="Times New Roman"/>
        <family val="1"/>
      </rPr>
      <t>Nevelési intézmények fejlesztése</t>
    </r>
    <r>
      <rPr>
        <sz val="10"/>
        <rFont val="Times New Roman"/>
        <family val="1"/>
      </rPr>
      <t>” KTKT Óvoda Batthyány Utcai Tagóvodája - támogatás</t>
    </r>
  </si>
  <si>
    <t>Az Önkormányzat által irányított költségvetési szervek bevételei összesen</t>
  </si>
  <si>
    <t xml:space="preserve">Intézményi alaptevékenység </t>
  </si>
  <si>
    <t>KÖLTSÉGVETÉSI KIADÁSOK ÖSSZESEN (I+II+III+IV+V+VI)</t>
  </si>
  <si>
    <t>Utak fenntartása, építése</t>
  </si>
  <si>
    <t>-2011. évi teljesítés</t>
  </si>
  <si>
    <t>Kiskőrösi Többcélú Kistérségi Társulás - DAOP-4.2.1-11 „Nevelési intézmények fejlesztése” KTKT Óvoda Batthyány Utcai Tagóvodája - támogatás</t>
  </si>
  <si>
    <t>Polgármesteri Hivatal</t>
  </si>
  <si>
    <t>Összesen 1-5. sorok</t>
  </si>
  <si>
    <t>Polgármesteri Hivatal tevékenysége</t>
  </si>
  <si>
    <t>POLGÁRMESTERI HIVATAL KIADÁSAI ÖSSZESEN (6.+7.+8. sorok)</t>
  </si>
  <si>
    <t>Startmunka mintaprogram - járdafelújítások</t>
  </si>
  <si>
    <t>Petőfi Sándor Társaság támogatása</t>
  </si>
  <si>
    <t>Kiskőrös Városért Alapítvány támogatása</t>
  </si>
  <si>
    <t>Férfi kézilabda sportcélok támogatása</t>
  </si>
  <si>
    <t>Szabadidősport-tevékenység támogatása</t>
  </si>
  <si>
    <t>41.</t>
  </si>
  <si>
    <t>Kiskőrösi Labdarúgó Klub támogatása</t>
  </si>
  <si>
    <t>Települési marketing és média</t>
  </si>
  <si>
    <t>Küzdősportok támogatása</t>
  </si>
  <si>
    <t>Keresztény Ifjúsági Egyesület támogatása</t>
  </si>
  <si>
    <t>43.</t>
  </si>
  <si>
    <t xml:space="preserve">Előző évek tartaléka </t>
  </si>
  <si>
    <t xml:space="preserve">Előző év pénzmaradványa </t>
  </si>
  <si>
    <t>Kiskőrösi Advent</t>
  </si>
  <si>
    <t>2011. évi tűzoltósági és nemzetiségi pénzmaradványok rendezése</t>
  </si>
  <si>
    <t>Humán Szolgáltató Központ megszűntetése miatti kifizetések</t>
  </si>
  <si>
    <t>ÁLTALÁNOS TARTALÉK</t>
  </si>
  <si>
    <t>Önállóan működő intézmények:</t>
  </si>
  <si>
    <t>Önállóan működő és gazdálkodó intézmény:</t>
  </si>
  <si>
    <r>
      <t xml:space="preserve">AZ ÖNKORMÁNYZAT ÉS A POLGÁRMESTERI HIVATAL KIADÁSAI FINANSZÍROZÁSI KIADÁSOKKAL ÖSSZESEN </t>
    </r>
    <r>
      <rPr>
        <sz val="10"/>
        <rFont val="Times New Roman"/>
        <family val="1"/>
      </rPr>
      <t>( 9-45. sorok )</t>
    </r>
  </si>
  <si>
    <t>Prémiumévek program támogatása</t>
  </si>
  <si>
    <t>Városi Sporttelepen új vizesblokk kialakítása - önerő (BM pályázat)</t>
  </si>
  <si>
    <t>20</t>
  </si>
  <si>
    <t>21</t>
  </si>
  <si>
    <t>KTKT - 2011. évi pénzmaradvány -  szociális intézmény</t>
  </si>
  <si>
    <t>KTKT - DAOP - Petőfi Sándor Általános Iskola fejlesztése</t>
  </si>
  <si>
    <t>Kiskőrösi Többcélú Kistérségi Társulás - DAOP-2007-4.2.1/2F - Petőfi Sándor Általános Iskola fejlesztése - támogatás</t>
  </si>
  <si>
    <t>Költségvetési hiány - belső finanszírozás - előző évek pénzmaradványa, tartaléka</t>
  </si>
  <si>
    <t>2008. évi teljesítés</t>
  </si>
  <si>
    <t>Költségvetési hiány -  belső finanszírozás - előző év pénzmaradványa</t>
  </si>
  <si>
    <t>Költségvetési hiány -  belső finanszírozás - előző évek tartaléka</t>
  </si>
  <si>
    <t>Összesen:</t>
  </si>
  <si>
    <t>Költségvetési hiány - külső finanszírozás (2011. évi hiány)</t>
  </si>
  <si>
    <t>Rövidlejáratú hitel (2011. évi hiány)</t>
  </si>
  <si>
    <t xml:space="preserve">     Térfigyelő kamera, sebességmérő üzemeltetése, bűnmegelőzés</t>
  </si>
  <si>
    <t>Nyári gyermekétkeztetés</t>
  </si>
  <si>
    <t>4 db fűkasza</t>
  </si>
  <si>
    <t>MTZ traktor</t>
  </si>
  <si>
    <t>vontatható gréder</t>
  </si>
  <si>
    <t>kisbusz</t>
  </si>
  <si>
    <t>ebből: homlokrakodó</t>
  </si>
  <si>
    <t>billenős pótkocsi</t>
  </si>
  <si>
    <t>Startmunka mintaprogram - gépek, berendezések beszerzése összesen</t>
  </si>
  <si>
    <t xml:space="preserve">Kiskőrösi Sportigazgatóság </t>
  </si>
  <si>
    <t>Kiskőrösi Sportigazgatóság</t>
  </si>
  <si>
    <t>Egyéb központi támogatás összesen</t>
  </si>
  <si>
    <t>A költségvetési szerveknél foglalkoztatottak 2012. évi kompenzációja</t>
  </si>
  <si>
    <t>22</t>
  </si>
  <si>
    <t>Szociális továbbképzés</t>
  </si>
  <si>
    <t>Lakásfenntartási támogatás</t>
  </si>
  <si>
    <t>Önkormányzat intézményi működési bevételei összesen</t>
  </si>
  <si>
    <t>Intézményi működési bevételek összesen</t>
  </si>
  <si>
    <t>ezer Ft-ban</t>
  </si>
  <si>
    <t>Feladat</t>
  </si>
  <si>
    <t>Az átcsoportosítás jogát gyakorolja</t>
  </si>
  <si>
    <t>Rendkívüli javítások, karbantartások elvégzése, halaszthatatlan kisértékű tárgyi eszközök pótlása</t>
  </si>
  <si>
    <t>Polgármester</t>
  </si>
  <si>
    <t>Indokolt létszámcsökkentés végrehajtása érdekében felmerülő végkielégítés, egyéb nem tervezett rendkívüli személyi juttatás fedezete</t>
  </si>
  <si>
    <t>Más forrásból nem finanszírozható, kötelező városi feladatok ellátása</t>
  </si>
  <si>
    <t>Az Önkormányzat és az általa irányított költségvetési szervek dologi kiadásai indokolt kiegészítéséhez szükséges tartalék</t>
  </si>
  <si>
    <t>Képviselő-testület</t>
  </si>
  <si>
    <t>Civil szervezetek támogatása</t>
  </si>
  <si>
    <t>ÖNKORMÁNYZATI KIADÁSOK ÖSSZESEN ( 9-42. sorok )</t>
  </si>
  <si>
    <t>44.</t>
  </si>
  <si>
    <t>Hétszínvirág Alapfokú Művészetoktatási Intézmény támogatása</t>
  </si>
  <si>
    <t>Kiskőrös Város Hegyközsége éves programjainak támogatása</t>
  </si>
  <si>
    <t>Kunság Volán Zrt. DAOP-3.2.1/A-11. pályázatához önerő</t>
  </si>
  <si>
    <t>Kunság Volán Zrt - DAOP-3.2.1/A-11 - „Integrált szolgáltatástervezést támogató, elektronikus jegy- és bérletrendszer bevezetése” - támogatás</t>
  </si>
  <si>
    <t>Turisztikai attrakcióik és szolgáltatások fejlesztése – DAOP-2.1.1/J-12. előkészítési költségek</t>
  </si>
  <si>
    <t>Turisztikai attrakcióik és szolgáltatások fejlesztése – DAOP-2.1.1/J-12. pályázat - előkészítési költségek</t>
  </si>
  <si>
    <t>Egészségre nevelő és szemléletformáló életmódprogramok a kistérségben - DAOP-6.1.2/11/3 - előkészítési költségek</t>
  </si>
  <si>
    <t>47/2012. Képv.testületi határozat alapján ingatlanrész megvásárlása</t>
  </si>
  <si>
    <t>Kiskőrösi Bölcsőde fejlesztése-DAOP-4.1.3/C-2008.</t>
  </si>
  <si>
    <t>Pénzügyi Bizottság</t>
  </si>
  <si>
    <t>Üde-Kunság Vidékfejlesztési Egyesület támogatása</t>
  </si>
  <si>
    <t>eredeti</t>
  </si>
  <si>
    <t>módosított</t>
  </si>
  <si>
    <t>teljesítés</t>
  </si>
  <si>
    <t>2012. évi módosított előirányzat</t>
  </si>
  <si>
    <t>2012. évi eredeti előirányzat</t>
  </si>
  <si>
    <t>-eredeti előirányzat</t>
  </si>
  <si>
    <t>-módosított előirányzat</t>
  </si>
  <si>
    <t>-teljesítés</t>
  </si>
  <si>
    <t>ebből: Iparűzési adó</t>
  </si>
  <si>
    <r>
      <t>ebből</t>
    </r>
    <r>
      <rPr>
        <i/>
        <sz val="10"/>
        <rFont val="Times New Roman"/>
        <family val="1"/>
      </rPr>
      <t>: társadalom-, szociálpolitika és egyéb juttatások, támogatások</t>
    </r>
  </si>
  <si>
    <t>BEVÉTELEK ÖSSZESEN (I. + II.)</t>
  </si>
  <si>
    <r>
      <t>Kiskőrösi Többcélú Kistérségi Társulás Kiskőrösi és Császártöltési Idősek Otthona TIOP-3.4.1-11/1 „</t>
    </r>
    <r>
      <rPr>
        <i/>
        <sz val="10"/>
        <rFont val="Times New Roman"/>
        <family val="1"/>
      </rPr>
      <t>Önkormányzati, állami, egyházi, nonprofit fenntartású bentlakásos intézmények korszerűsítése</t>
    </r>
    <r>
      <rPr>
        <sz val="10"/>
        <rFont val="Times New Roman"/>
        <family val="1"/>
      </rPr>
      <t>”  kölcsön</t>
    </r>
  </si>
  <si>
    <r>
      <t xml:space="preserve">KIADÁSOK ÖSSZESEN </t>
    </r>
    <r>
      <rPr>
        <sz val="10"/>
        <rFont val="Times New Roman"/>
        <family val="1"/>
      </rPr>
      <t>( 1-44. sorok )</t>
    </r>
  </si>
  <si>
    <r>
      <t>Ebből</t>
    </r>
    <r>
      <rPr>
        <sz val="10"/>
        <rFont val="Times New Roman"/>
        <family val="1"/>
      </rPr>
      <t>: kötelező feladatellátás</t>
    </r>
  </si>
  <si>
    <t xml:space="preserve">            önként vállalt feladatok</t>
  </si>
  <si>
    <t xml:space="preserve">            közfoglalkoztatás</t>
  </si>
  <si>
    <t>hozzájáru-lási adó</t>
  </si>
  <si>
    <t>Támogatásértékű kiadások</t>
  </si>
  <si>
    <t>Társ.szoc. pol. és egyéb juttatás / tám</t>
  </si>
  <si>
    <t xml:space="preserve">célú </t>
  </si>
  <si>
    <t xml:space="preserve"> kiadások</t>
  </si>
  <si>
    <t>Egyéb felhalmo-zási</t>
  </si>
  <si>
    <t>Tarta-lékok</t>
  </si>
  <si>
    <t>Munka-adókat terhelő</t>
  </si>
  <si>
    <t xml:space="preserve">           önként vállalt feladatok</t>
  </si>
  <si>
    <r>
      <t>Ebből</t>
    </r>
    <r>
      <rPr>
        <sz val="10"/>
        <rFont val="Times New Roman"/>
        <family val="1"/>
      </rPr>
      <t>: önként vállalt feladatok</t>
    </r>
  </si>
  <si>
    <t xml:space="preserve">             önként vállalt feladatok</t>
  </si>
  <si>
    <r>
      <t>Ebből:</t>
    </r>
    <r>
      <rPr>
        <sz val="10"/>
        <rFont val="Times New Roman"/>
        <family val="1"/>
      </rPr>
      <t xml:space="preserve"> kötelező feladatellátáshoz kapcsolódó</t>
    </r>
  </si>
  <si>
    <t xml:space="preserve">             önként vállalt feladatok ellátásához kapcsolódó</t>
  </si>
  <si>
    <t xml:space="preserve">              önként vállalt feladatok</t>
  </si>
  <si>
    <r>
      <t>Ebből:</t>
    </r>
    <r>
      <rPr>
        <sz val="10"/>
        <rFont val="Times New Roman"/>
        <family val="1"/>
      </rPr>
      <t xml:space="preserve"> kötelező feladatellátás</t>
    </r>
  </si>
  <si>
    <r>
      <t>Ebből</t>
    </r>
    <r>
      <rPr>
        <b/>
        <sz val="10"/>
        <rFont val="Times New Roman"/>
        <family val="1"/>
      </rPr>
      <t>: kötelező feladatellátás</t>
    </r>
  </si>
  <si>
    <t>Könyvtári érdekeltségnövelő támogatás</t>
  </si>
  <si>
    <t>2011. évről áthúzódó bérkompenzáció támogatása</t>
  </si>
  <si>
    <t>Kiegészítő támogatás egyes szociális feladatokhoz összesen (1.+…+7.)</t>
  </si>
  <si>
    <t>Előző évi pénzmaradvány átadása</t>
  </si>
  <si>
    <t>Csapadékhálózat-fejlesztés DAOP-5.2.1/A-11</t>
  </si>
  <si>
    <t>Felújítások összesen (A+B)</t>
  </si>
  <si>
    <t>Beruházások összesen (A+B)</t>
  </si>
  <si>
    <t>Lakossági befizetések - szennyvíz</t>
  </si>
  <si>
    <t>Gyermektartásdíj - lakossági befizetés</t>
  </si>
  <si>
    <t>23</t>
  </si>
  <si>
    <t>Előző évi pénzmaradvány átvétele</t>
  </si>
  <si>
    <t>(Sz)Építő közösségek - TÁMOP-3.2.3/A-11/1</t>
  </si>
  <si>
    <t>(Sz)Építő irodalom - TÁMOP-3.2.3/A-11/1-2012.</t>
  </si>
  <si>
    <t>Kiskőrösi Bölcsőde fejlesztése - DAOP-4.1.3/C-2008</t>
  </si>
  <si>
    <t>eszközbeszerzés közbeszerzési eljárási díja</t>
  </si>
  <si>
    <t>Kiskőrösi Többcélú Kistértési Társulás - DAOP - EU önerő és gyepmesteri telep kölcsön visszautalása</t>
  </si>
  <si>
    <t>24</t>
  </si>
  <si>
    <t>Bursa visszautalása</t>
  </si>
  <si>
    <t>Lakossági befizetések - víz</t>
  </si>
  <si>
    <t>Kötvény forrás kamatbevétele, árfolyamnyeresége</t>
  </si>
  <si>
    <t>Általános forgalmi adó bevételek, fordított ÁFA visszatérülések</t>
  </si>
  <si>
    <t>Fordított ÁFA visszatérülések</t>
  </si>
  <si>
    <t>Önkormányzati vagyon hasznosításával kapcsolatos kiadások</t>
  </si>
  <si>
    <t>Településrendezési terv módosítása</t>
  </si>
  <si>
    <t>ÁFA befizetések</t>
  </si>
  <si>
    <t>Pénzmaradvány átadása intézményeknek</t>
  </si>
  <si>
    <t>Tanyás térségek külterületi földútjainak karbantartását, rendszeres felújítását biztosító vontatott munkagépek, eszközök beszerzése - TP - 1-2012. - önerő</t>
  </si>
  <si>
    <t>Csatornahálózat, szennyvíztelep beruházásai</t>
  </si>
  <si>
    <t>2,11</t>
  </si>
  <si>
    <t>2,12</t>
  </si>
  <si>
    <t>Kiskőrösi Sportigazgatás</t>
  </si>
  <si>
    <t>Városi Alapfokú Művészetoktatási Intézmény - soltvadkerti telephelye</t>
  </si>
  <si>
    <t>Kiskőrös és Térsége Ivóvízminőség-javító Önkormányzati Társulás - KEOP-1.3.0/09-11-2011-0015 - "EU Önerő Alap" támogatás továbbutalása</t>
  </si>
  <si>
    <t>Szabálysértési és közigazgatási bírságok önkormányzatot megillető része</t>
  </si>
  <si>
    <t>Felhalmozási pénzeszközök kamatbevételei</t>
  </si>
  <si>
    <t>Pályaválasztási kiállítás</t>
  </si>
  <si>
    <t>Közművagyon bérbeadásából származó bevétel</t>
  </si>
  <si>
    <t>Városi Sporttelepen új vizesblokk kialakítása</t>
  </si>
  <si>
    <t>Kiskőrös és Térsége Ivóvízminőség-javító Önkormányzati Társulás - KEOP-1.3.0/09-11-2011-0015 - "EU Önerő Alap" támogatás</t>
  </si>
  <si>
    <t>Létszámcsökkentéssel kapcsolatos támogatás</t>
  </si>
  <si>
    <t>Rendszeres gyermekvédelmi kedvezményben részesülők természetbeni támogatására kapott Erzsébet utalvány értéke</t>
  </si>
  <si>
    <t>Önhibájukon kívül hátrányos helyzetben lévő önkormányzatok támogatása</t>
  </si>
  <si>
    <t>Központosított előirányzatok összesen (1.+…..+9.)</t>
  </si>
  <si>
    <t>2012. évi teljesítés</t>
  </si>
  <si>
    <t>KÖTELEZETTSÉGEK</t>
  </si>
  <si>
    <t>1. évben</t>
  </si>
  <si>
    <t>2. évben</t>
  </si>
  <si>
    <t>3. évben</t>
  </si>
  <si>
    <t>4. és ezt követő év(ek)ben</t>
  </si>
  <si>
    <t>ÖSSZESEN:</t>
  </si>
  <si>
    <t>KÖVETELÉSEK</t>
  </si>
  <si>
    <t>Szöveges indoklás</t>
  </si>
  <si>
    <t>Függő, kiegyenlítő, átfutó:</t>
  </si>
  <si>
    <t>Pénzmaradvány igénybevétel:</t>
  </si>
  <si>
    <t xml:space="preserve">             Megnevezés</t>
  </si>
  <si>
    <t>Pénzmaradványt módosító tételek:</t>
  </si>
  <si>
    <t>Költségvetési kiutalási igény:</t>
  </si>
  <si>
    <t>Pénz-készlet változás</t>
  </si>
  <si>
    <t>Módosított pénzmaradvány (15. melléklet 12. sor):</t>
  </si>
  <si>
    <t>Hitelezők</t>
  </si>
  <si>
    <t xml:space="preserve">Cél és eszközök megnevezése </t>
  </si>
  <si>
    <t>Felvétel éve</t>
  </si>
  <si>
    <t>Lejárat éve</t>
  </si>
  <si>
    <t>Teljes futamidő</t>
  </si>
  <si>
    <t>Tárgyévi nyitó</t>
  </si>
  <si>
    <t>Tárgyévi törlesztés</t>
  </si>
  <si>
    <t>Tárgyévi záró</t>
  </si>
  <si>
    <t>Tárgyévet követő évben esedékes törlesztés</t>
  </si>
  <si>
    <t>OTP Bank Nyrt - hitel</t>
  </si>
  <si>
    <t>Petőfi Sándor Városi Könyvtár és a Művelődési Központ</t>
  </si>
  <si>
    <t>CIB Bank</t>
  </si>
  <si>
    <t>Likviditási hitelállomány</t>
  </si>
  <si>
    <t>Fejlesztések, beruházások finanszírozása</t>
  </si>
  <si>
    <t>Bérlakások vásárlói</t>
  </si>
  <si>
    <t>Bérlakás vásárlás</t>
  </si>
  <si>
    <t>folyamatos</t>
  </si>
  <si>
    <t>Munkáltató kölcsön</t>
  </si>
  <si>
    <t>Dolgozók</t>
  </si>
  <si>
    <t xml:space="preserve"> Volt állami tulajdonban lévő lakások vásárlói</t>
  </si>
  <si>
    <t xml:space="preserve"> Szoc.lakásvásárlás, belvízkárosult lakásokra tám.igénybe vevők</t>
  </si>
  <si>
    <t>Lakásvásárlás, lakáskorszerűsítés</t>
  </si>
  <si>
    <t>a Magyarország stabilitásáról szóló 2011. évi CXCIV. törvény 3.§ (1) bekezdése szerinti adósságot keletkeztető ügyletek és kezességvállalások, valamint saját bevételek</t>
  </si>
  <si>
    <t>Tárgyévi módosított előirányzat</t>
  </si>
  <si>
    <t>Tárgyévi teljesítés</t>
  </si>
  <si>
    <t>Kötelezettség/saját bevétel a tárgyévet követő</t>
  </si>
  <si>
    <t>4. és ezt követő év(ek)ben a futamidő végéig, ill. a kezesség érvényesíthetőségéig</t>
  </si>
  <si>
    <t>1.1</t>
  </si>
  <si>
    <t>OTP Bank Zrt-nél 17.601 ezer Ft összegben felvett ÖKIF (fejlesztési célú) hitel a Művelődési Központ felújítására (felvétel éve: 2006. , lejárata: 2026.) - tőke</t>
  </si>
  <si>
    <t>OTP Bank Zrt-nél 17.601 ezer Ft összegben felvett ÖKIF (fejlesztési célú) hitel a Művelődési Központ felújítására (felvétel éve: 2006. , lejárata: 2026.) - kamat</t>
  </si>
  <si>
    <t>1.2</t>
  </si>
  <si>
    <t>Raiffeisen Bank Zrt-nél 3.018.000 EURO összegben kötvénykibocsátás (kibocsátás éve: 2008., lejárata: 2028., tőketörlesztés kezdete: 2013.) - tőke</t>
  </si>
  <si>
    <t>Raiffeisen Bank Zrt-nél 3.018.000 EURO összegben kötvénykibocsátás (kibocsátás éve: 2008., lejárata: 2028., tőketörlesztés kezdete: 2013.) - kamat</t>
  </si>
  <si>
    <r>
      <t>Raiffeisen Bank - kötvénykibocsátás</t>
    </r>
    <r>
      <rPr>
        <sz val="9"/>
        <rFont val="Arial"/>
        <family val="2"/>
      </rPr>
      <t>*</t>
    </r>
  </si>
  <si>
    <r>
      <t>808 824</t>
    </r>
    <r>
      <rPr>
        <sz val="9"/>
        <rFont val="Arial"/>
        <family val="2"/>
      </rPr>
      <t>*</t>
    </r>
  </si>
  <si>
    <r>
      <t>*</t>
    </r>
    <r>
      <rPr>
        <sz val="8"/>
        <rFont val="Times New Roman CE"/>
        <family val="0"/>
      </rPr>
      <t>3.018 ezer EURO 268 HUF/EUR árfolyamon számítva</t>
    </r>
  </si>
  <si>
    <t>Saját bevételek</t>
  </si>
  <si>
    <t>Kiadások</t>
  </si>
  <si>
    <t>Társ.szoc. pol. és egyéb juttatás/tám</t>
  </si>
  <si>
    <t>Módosított előirányzat</t>
  </si>
  <si>
    <t>Teljesítés</t>
  </si>
  <si>
    <t>Bevételi többlet / hiány</t>
  </si>
  <si>
    <t>Kiadási meg-takarítás</t>
  </si>
  <si>
    <t xml:space="preserve">terhelő </t>
  </si>
  <si>
    <t>járulékok</t>
  </si>
  <si>
    <t xml:space="preserve">Petőfi Sándor Városi Könyvtár </t>
  </si>
  <si>
    <t>Petőfi Szülőház és Emlékmúzeum</t>
  </si>
  <si>
    <t>D</t>
  </si>
  <si>
    <t>E</t>
  </si>
  <si>
    <t>F</t>
  </si>
  <si>
    <t>Munkaadókat</t>
  </si>
  <si>
    <t>Egyéb felhalmozási</t>
  </si>
  <si>
    <t>Támogatás- értékű kiadások</t>
  </si>
  <si>
    <t>Előző évi költségvetési beszámoló záró adatai</t>
  </si>
  <si>
    <t>Auditálási eltérések (±)*</t>
  </si>
  <si>
    <t>Előző évi auditált egyszerűsített beszámoló záró adatai</t>
  </si>
  <si>
    <t>Tárgyévi költségvetési beszámoló záró adatai</t>
  </si>
  <si>
    <t>Auditálási eltérések (±)**</t>
  </si>
  <si>
    <t>Tárgyévi auditált egyszerűsített beszámoló záró adatai</t>
  </si>
  <si>
    <t>E S Z K Ö Z Ö K</t>
  </si>
  <si>
    <t>A) BEFEKTETT ESZKÖZÖK</t>
  </si>
  <si>
    <t xml:space="preserve"> I.   Immateriális javak</t>
  </si>
  <si>
    <t xml:space="preserve"> II.  Tárgyi eszközök</t>
  </si>
  <si>
    <t xml:space="preserve"> III. Befektetett pénzügyi eszközök</t>
  </si>
  <si>
    <t>B)  FORGÓESZKÖZÖK</t>
  </si>
  <si>
    <t xml:space="preserve"> I.   Készletek</t>
  </si>
  <si>
    <t xml:space="preserve"> II.  Követelések</t>
  </si>
  <si>
    <t xml:space="preserve"> III. Értékpapírok</t>
  </si>
  <si>
    <t xml:space="preserve"> IV. Pénzeszközök</t>
  </si>
  <si>
    <t xml:space="preserve"> V.  Egyéb aktív pénzügyi elszámolások</t>
  </si>
  <si>
    <t>ESZKÖZÖK ÖSSZESEN</t>
  </si>
  <si>
    <t>Előző év auditált egyszerűsített beszámoló záró adatai</t>
  </si>
  <si>
    <t>Tárgyév auditált egyszerűsített beszámoló záró adatai</t>
  </si>
  <si>
    <t>F O R R Á S O K</t>
  </si>
  <si>
    <t>D)  SAJÁT  TŐKE</t>
  </si>
  <si>
    <t xml:space="preserve"> 1. Tartós tőke</t>
  </si>
  <si>
    <t xml:space="preserve"> 2. Tőkeváltozások</t>
  </si>
  <si>
    <t>E)  TARTALÉKOK</t>
  </si>
  <si>
    <t xml:space="preserve">  I.  Költségvetési tartalékok</t>
  </si>
  <si>
    <t xml:space="preserve"> II. Vállalkozási tartalékok</t>
  </si>
  <si>
    <t>F) KÖTELEZETTSÉGEK</t>
  </si>
  <si>
    <t xml:space="preserve"> I.  Hosszú lejáratú kötelezettségek</t>
  </si>
  <si>
    <t xml:space="preserve"> II.  Rövid lejáratú kötelezettségek</t>
  </si>
  <si>
    <t xml:space="preserve"> III. Egyéb passzív pénzügyi elszámolások</t>
  </si>
  <si>
    <t>FORRÁSOK ÖSSZESEN</t>
  </si>
  <si>
    <t>Kamatbevétel</t>
  </si>
  <si>
    <t>Egyéb bevételek</t>
  </si>
  <si>
    <t>Szociális lakásvásárlás, munkáltatói kölcsönök, köztemetés  visszatérítendő támogatása</t>
  </si>
  <si>
    <t>Pótlólagos támogatás - MÁK</t>
  </si>
  <si>
    <t>Városközpont rekonstrukció - DAOP-5.2.1/A-09-1f-2010-0006</t>
  </si>
  <si>
    <t xml:space="preserve">Kiskőrös, Kossuth utca fejlesztése - DAOP-3.1.1/B-11. </t>
  </si>
  <si>
    <t>Pótlék, bírság, egyéb sajátos bevétel</t>
  </si>
  <si>
    <t>Egyéb működési bevételek</t>
  </si>
  <si>
    <t xml:space="preserve">Bérleti díjak </t>
  </si>
  <si>
    <t>*   Az előző évet érintő és a könyvekben tárgyévben rögzített módosítások</t>
  </si>
  <si>
    <t>**  A tárgyévet érintő és a könyvekben a tárgyévet követő évben rögzített módosítások</t>
  </si>
  <si>
    <r>
      <t xml:space="preserve"> 3. </t>
    </r>
    <r>
      <rPr>
        <sz val="8"/>
        <rFont val="Times New Roman"/>
        <family val="1"/>
      </rPr>
      <t>*</t>
    </r>
    <r>
      <rPr>
        <sz val="8"/>
        <rFont val="Times New Roman CE"/>
        <family val="1"/>
      </rPr>
      <t>Értékelési tartalék</t>
    </r>
  </si>
  <si>
    <t>Megnevezés</t>
  </si>
  <si>
    <t>Eredeti</t>
  </si>
  <si>
    <t xml:space="preserve">Módosított </t>
  </si>
  <si>
    <t>előirányzat</t>
  </si>
  <si>
    <t>01.</t>
  </si>
  <si>
    <t xml:space="preserve">     Személyi juttatások</t>
  </si>
  <si>
    <t>02.</t>
  </si>
  <si>
    <t>03.</t>
  </si>
  <si>
    <t>04.</t>
  </si>
  <si>
    <t xml:space="preserve">     Működési célú támogatásértékű kiadások, egyéb támogatások</t>
  </si>
  <si>
    <t>05.</t>
  </si>
  <si>
    <t xml:space="preserve">     Államháztartáson kívülre végleges működési pénzeszközátadások</t>
  </si>
  <si>
    <t>06.</t>
  </si>
  <si>
    <t xml:space="preserve">     Ellátottak pénzbeli juttatásai</t>
  </si>
  <si>
    <t>07.</t>
  </si>
  <si>
    <t xml:space="preserve">     Felújítás</t>
  </si>
  <si>
    <t>08.</t>
  </si>
  <si>
    <t>09.</t>
  </si>
  <si>
    <t xml:space="preserve">     Felhalmozási célú támogatásértékű kiadások, egyéb támogatások</t>
  </si>
  <si>
    <t xml:space="preserve">    Államháztartáson kívülre végleges felhalmozási pénzeszközátadások</t>
  </si>
  <si>
    <t xml:space="preserve">    Hosszú lejáratú kölcsönök nyújtása</t>
  </si>
  <si>
    <t xml:space="preserve">    Rövid lejáratú kölcsönök nyújtása</t>
  </si>
  <si>
    <t xml:space="preserve">    Tartós hitelviszonyt megtestesítő értékpapírok kiadásai</t>
  </si>
  <si>
    <t xml:space="preserve">    Forgatási célú hitelviszonyt megtestesítő értékpapírok kiadásai</t>
  </si>
  <si>
    <t xml:space="preserve">    Pénzforgalom nélküli kiadások</t>
  </si>
  <si>
    <t xml:space="preserve">    Kiegyenlítő, függő, átfutó kiadások</t>
  </si>
  <si>
    <t xml:space="preserve">    Működési célú támogatásértékű bevételek, egyéb támogatások</t>
  </si>
  <si>
    <t xml:space="preserve">    Államháztartáson kívülről végleges működési pénzeszközátvételek</t>
  </si>
  <si>
    <t xml:space="preserve">    Felhalmozási és tőke jellegű bevételek</t>
  </si>
  <si>
    <t xml:space="preserve">   Felhalmozási célú támogatásértékű bevételek, egyéb támogatások</t>
  </si>
  <si>
    <t xml:space="preserve">   Államháztartáson kívülről végleges felhalmozási pénzeszközátvételek</t>
  </si>
  <si>
    <t xml:space="preserve">   Támogatások, kiegészítések </t>
  </si>
  <si>
    <t xml:space="preserve">    Hosszú lejáratú kölcsönök visszatérülése</t>
  </si>
  <si>
    <t xml:space="preserve">    Rövid lejáratú kölcsönök visszatérülése</t>
  </si>
  <si>
    <t xml:space="preserve">    Tartós hitelviszonyt megtestesítő értékpapírok bevételei</t>
  </si>
  <si>
    <t>1. Rendkívüli javítások, karbantartások elvégzése, halaszthatatlan kisértékű tárgyi eszközök pótlása</t>
  </si>
  <si>
    <t>2. Indokolt létszámcsökkentés végrehajtása érdekében felmerülő végkielégítés, egyéb nem tervezett rendkívüli személyi juttatás fedezetére</t>
  </si>
  <si>
    <t>3. Más forrásból nem finanszírozható, kötelező városi feladatok ellátásának fedezetére</t>
  </si>
  <si>
    <t xml:space="preserve"> IV. Üzemeltetésre, kezelésre átadott, koncesszióba, vagyonkezelésbe adott, vagyonkezelésbe vett eszközök                                                                                                                                              </t>
  </si>
  <si>
    <t xml:space="preserve">     Munkaadókat terhelő járulékok és szociális hozzájárulási adó</t>
  </si>
  <si>
    <t xml:space="preserve">     Dologi kiadások</t>
  </si>
  <si>
    <t xml:space="preserve">     Felhalmozási kiadások (felújítás nélkül)</t>
  </si>
  <si>
    <t xml:space="preserve">    Pénzügyi lízing tőketörlesztés miatti kiadások</t>
  </si>
  <si>
    <r>
      <t xml:space="preserve">    Finanszírozási kiadások összesen </t>
    </r>
    <r>
      <rPr>
        <sz val="8"/>
        <rFont val="Times New Roman"/>
        <family val="1"/>
      </rPr>
      <t>(14+15+17+18+19)</t>
    </r>
  </si>
  <si>
    <r>
      <t xml:space="preserve">    Pénzforgalmi kiadások </t>
    </r>
    <r>
      <rPr>
        <sz val="8"/>
        <rFont val="Times New Roman"/>
        <family val="1"/>
      </rPr>
      <t>(13+20)</t>
    </r>
  </si>
  <si>
    <r>
      <t xml:space="preserve">    KIADÁSOK ÖSSZESEN </t>
    </r>
    <r>
      <rPr>
        <sz val="8"/>
        <rFont val="Times New Roman"/>
        <family val="1"/>
      </rPr>
      <t>(21+22+23)</t>
    </r>
  </si>
  <si>
    <t xml:space="preserve">    Működési bevételek</t>
  </si>
  <si>
    <t xml:space="preserve">           Ebből: Önkormányzatok sajátos felhalmozási és tőkebevételei</t>
  </si>
  <si>
    <t xml:space="preserve">      Ebből: likvid hitelek kiadása</t>
  </si>
  <si>
    <t xml:space="preserve">          Ebből: Önkormányzatok költségvetési támogatása   </t>
  </si>
  <si>
    <r>
      <t xml:space="preserve">    Költségvetési pénzforgalmi bevételek összesen </t>
    </r>
    <r>
      <rPr>
        <sz val="8"/>
        <rFont val="Times New Roman"/>
        <family val="1"/>
      </rPr>
      <t>(25+…28+30+31+32+34+35)</t>
    </r>
  </si>
  <si>
    <t xml:space="preserve">     Ebből: likvid hitelek bevétele</t>
  </si>
  <si>
    <r>
      <t xml:space="preserve">    BEVÉTELEK ÖSSZESEN </t>
    </r>
    <r>
      <rPr>
        <sz val="8"/>
        <rFont val="Times New Roman"/>
        <family val="1"/>
      </rPr>
      <t>(43+...+45)</t>
    </r>
  </si>
  <si>
    <t xml:space="preserve">Igénybe vett tartalékokkal korrigált költségvetési bevételek és kiadások különbsége (47+44-22) [korrigált költségvetési hiány (-),korrigált költségvetési többlet(+)]  </t>
  </si>
  <si>
    <r>
      <t xml:space="preserve">    Finanszírozási műveletek eredménye </t>
    </r>
    <r>
      <rPr>
        <sz val="8"/>
        <rFont val="Times New Roman"/>
        <family val="1"/>
      </rPr>
      <t>(42-20)</t>
    </r>
  </si>
  <si>
    <r>
      <t xml:space="preserve">    Aktív és passzív műveletek egyenlege </t>
    </r>
    <r>
      <rPr>
        <sz val="8"/>
        <rFont val="Times New Roman"/>
        <family val="1"/>
      </rPr>
      <t>(45-23)</t>
    </r>
  </si>
  <si>
    <t>Pályázatokhoz önerő, előkészítő szakaszok kiadásai</t>
  </si>
  <si>
    <t xml:space="preserve">Önkormányzati gépek, berendezések beszerzése, beruházások </t>
  </si>
  <si>
    <r>
      <t>A 2093 hrsz-ú ingatlanból 85m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megvásárlása</t>
    </r>
  </si>
  <si>
    <t xml:space="preserve">Ravatalozó - hűtőmotor csere </t>
  </si>
  <si>
    <t>Petőfi Sándor Evangélikus Óvoda, Általános Iskola, Gimnázium és Kertészeti Szakközépiskola - KEOP-2012-5.5.0/A - önerő és sikerdíj</t>
  </si>
  <si>
    <t>KEOP-2012-4.10.0/A napelemes pályázatok önerői</t>
  </si>
  <si>
    <t>előző évek tartalék-maradványának felosztása</t>
  </si>
  <si>
    <t xml:space="preserve">Kötvény 2013. évi törlesztőrészlete </t>
  </si>
  <si>
    <t>Mindösszesen</t>
  </si>
  <si>
    <t>I. + II. Ö S S Z E S E N</t>
  </si>
  <si>
    <t>III. Ö S S Z E S E N</t>
  </si>
  <si>
    <t>Tartalék</t>
  </si>
  <si>
    <t>Kötvény felhalmozási feladatokhoz</t>
  </si>
  <si>
    <t xml:space="preserve">Köztemető fenntartása </t>
  </si>
  <si>
    <t>Társulás oktatási és nevelési feladatainak támogatása</t>
  </si>
  <si>
    <t>Egészségre nevelő és szemléletformáló életmódprogramok a kistérségben - DAOP-6.1.2/11/3 - előkészítési költség</t>
  </si>
  <si>
    <t>Lakó- és nem lakó épület építése</t>
  </si>
  <si>
    <t>Kunság Volán Zrt - DAOP-3.2.1/A-11 - „Integrált szolgáltatástervezést támogató, elektronikus jegy- és bérletrendszer bevezetése” - támogatá</t>
  </si>
  <si>
    <t>Víztermelés, kezelés</t>
  </si>
  <si>
    <t>Társulás  - Háziorvosi ügyelet támogatása</t>
  </si>
  <si>
    <t>4. Az Önkormányzat és az általa irányított költségvetési szervek dologi kiadásai indokolt kiegészítéséhez szükséges tartalék</t>
  </si>
  <si>
    <t>5. Üde-Kunság Vidékfejlesztési Egyesület támogatása</t>
  </si>
  <si>
    <t>FLASH Tánccsoport Egyesület - táncgála megszervezése</t>
  </si>
  <si>
    <t>Magyar Vöröskereszt Bács-Kiskun Megyei Szervezete - gyerekek nyári táboroztatása</t>
  </si>
  <si>
    <t>Köztisztviselői nap</t>
  </si>
  <si>
    <t>Kőrös körül a Művészetért Egyesület - diákok alkotótábora</t>
  </si>
  <si>
    <t>Díszpolgár temetése</t>
  </si>
  <si>
    <t>Kiskőrös Város Fúvószenekarát és Mazsorett Csoportját Támogatók Egyesülete - hangverseny megrendezése</t>
  </si>
  <si>
    <t>KTKT Egységes Iskola és Szakiskola - Pedagósnap megrendezése</t>
  </si>
  <si>
    <t>Kiskőrös Város Hegyközsége - 2012. évi programok</t>
  </si>
  <si>
    <t>Kiskőrösi Gondűző Borlovagrend - 2012. évi programok</t>
  </si>
  <si>
    <t>Pénzügyi bizottságnak tartalék átadása</t>
  </si>
  <si>
    <t>Polgármesteri tartalékból Pénzügyi bizottságnak</t>
  </si>
  <si>
    <t>KTKT - érettségi, szakmai vizsgák finanszírozása</t>
  </si>
  <si>
    <t>Átcsoportosítás a 7/3 tartalékra</t>
  </si>
  <si>
    <t>Átcsoportosítás a 7/2 tartalékról</t>
  </si>
  <si>
    <t>Bevételek teljesítése miatt kiadások fedezetére/hiány csökkentésére képzett tartalék</t>
  </si>
  <si>
    <t>Hétszínvirág Alapfokú Művészetoktatási Intézmény - fellépés utazási költségei</t>
  </si>
  <si>
    <t xml:space="preserve">saját bevételek </t>
  </si>
  <si>
    <r>
      <t>A</t>
    </r>
    <r>
      <rPr>
        <sz val="10"/>
        <rFont val="Arial"/>
        <family val="2"/>
      </rPr>
      <t>)</t>
    </r>
    <r>
      <rPr>
        <sz val="10"/>
        <rFont val="Times New Roman"/>
        <family val="1"/>
      </rPr>
      <t xml:space="preserve"> A 2012. évi pénzmaradvány és az előző években képzett tartalák felosztása</t>
    </r>
  </si>
  <si>
    <r>
      <t>B</t>
    </r>
    <r>
      <rPr>
        <sz val="10"/>
        <rFont val="Arial"/>
        <family val="2"/>
      </rPr>
      <t>)</t>
    </r>
    <r>
      <rPr>
        <sz val="10"/>
        <rFont val="Times New Roman"/>
        <family val="1"/>
      </rPr>
      <t xml:space="preserve"> Előző években képzett felhalmozási célú tartalék beruházásonként, felújításonként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</si>
</sst>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</numFmts>
  <fonts count="1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Arial CE"/>
      <family val="0"/>
    </font>
    <font>
      <i/>
      <sz val="10"/>
      <color indexed="8"/>
      <name val="Tahoma"/>
      <family val="2"/>
    </font>
    <font>
      <i/>
      <sz val="7"/>
      <name val="Tahoma"/>
      <family val="2"/>
    </font>
    <font>
      <i/>
      <sz val="8"/>
      <name val="Times New Roman CE"/>
      <family val="1"/>
    </font>
    <font>
      <i/>
      <sz val="10"/>
      <name val="Times New Roman CE"/>
      <family val="1"/>
    </font>
    <font>
      <b/>
      <sz val="9"/>
      <name val="Arial CE"/>
      <family val="0"/>
    </font>
    <font>
      <b/>
      <i/>
      <sz val="10"/>
      <name val="Times New Roman CE"/>
      <family val="1"/>
    </font>
    <font>
      <i/>
      <sz val="10"/>
      <name val="Times New Roman"/>
      <family val="1"/>
    </font>
    <font>
      <b/>
      <sz val="10"/>
      <color indexed="8"/>
      <name val="Times New Roman CE"/>
      <family val="1"/>
    </font>
    <font>
      <sz val="8"/>
      <color indexed="8"/>
      <name val="Times New Roman"/>
      <family val="1"/>
    </font>
    <font>
      <i/>
      <sz val="10"/>
      <color indexed="8"/>
      <name val="Times New Roman CE"/>
      <family val="1"/>
    </font>
    <font>
      <sz val="9"/>
      <name val="Tahoma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6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i/>
      <sz val="10"/>
      <color indexed="8"/>
      <name val="Arial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Arial"/>
      <family val="0"/>
    </font>
    <font>
      <b/>
      <u val="single"/>
      <sz val="9"/>
      <name val="Times New Roman CE"/>
      <family val="1"/>
    </font>
    <font>
      <sz val="10"/>
      <name val="MS Sans Serif"/>
      <family val="0"/>
    </font>
    <font>
      <sz val="9"/>
      <name val="MS Sans Serif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MS Sans Serif"/>
      <family val="0"/>
    </font>
    <font>
      <b/>
      <sz val="10"/>
      <name val="MS Sans Serif"/>
      <family val="0"/>
    </font>
    <font>
      <b/>
      <sz val="7"/>
      <name val="Times New Roman"/>
      <family val="1"/>
    </font>
    <font>
      <b/>
      <sz val="7"/>
      <name val="Times New Roman CE"/>
      <family val="1"/>
    </font>
    <font>
      <sz val="7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sz val="8"/>
      <color indexed="9"/>
      <name val="Times New Roman CE"/>
      <family val="1"/>
    </font>
    <font>
      <b/>
      <sz val="8"/>
      <color indexed="9"/>
      <name val="Times New Roman CE"/>
      <family val="1"/>
    </font>
    <font>
      <sz val="6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 val="single"/>
      <vertAlign val="superscript"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 CE"/>
      <family val="0"/>
    </font>
    <font>
      <vertAlign val="superscript"/>
      <sz val="8"/>
      <name val="Times New Roman"/>
      <family val="1"/>
    </font>
    <font>
      <sz val="9"/>
      <name val="Arial CE"/>
      <family val="0"/>
    </font>
    <font>
      <b/>
      <sz val="8"/>
      <name val="Arial"/>
      <family val="0"/>
    </font>
    <font>
      <i/>
      <sz val="10"/>
      <name val="Arial CE"/>
      <family val="0"/>
    </font>
    <font>
      <u val="single"/>
      <sz val="8"/>
      <name val="Times New Roman"/>
      <family val="1"/>
    </font>
    <font>
      <sz val="9"/>
      <color indexed="10"/>
      <name val="Times New Roman CE"/>
      <family val="1"/>
    </font>
    <font>
      <b/>
      <sz val="10"/>
      <name val="Arial CE"/>
      <family val="0"/>
    </font>
    <font>
      <sz val="8"/>
      <color indexed="63"/>
      <name val="Times New Roman CE"/>
      <family val="1"/>
    </font>
    <font>
      <b/>
      <sz val="9"/>
      <color indexed="10"/>
      <name val="Times New Roman CE"/>
      <family val="1"/>
    </font>
    <font>
      <u val="single"/>
      <sz val="9"/>
      <name val="MS Sans Serif"/>
      <family val="0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Tahoma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Tahoma"/>
      <family val="0"/>
    </font>
    <font>
      <sz val="10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hair"/>
    </border>
    <border>
      <left>
        <color indexed="63"/>
      </left>
      <right style="medium"/>
      <top style="dotted"/>
      <bottom style="hair"/>
    </border>
    <border>
      <left>
        <color indexed="63"/>
      </left>
      <right style="thin"/>
      <top style="double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DotDot"/>
      <bottom style="hair"/>
    </border>
    <border>
      <left style="thin"/>
      <right style="medium"/>
      <top style="dashDotDot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dashDotDot"/>
    </border>
    <border>
      <left>
        <color indexed="63"/>
      </left>
      <right style="medium"/>
      <top style="medium"/>
      <bottom style="dashDotDot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4" fillId="20" borderId="1" applyNumberFormat="0" applyAlignment="0" applyProtection="0"/>
    <xf numFmtId="0" fontId="125" fillId="0" borderId="0" applyNumberFormat="0" applyFill="0" applyBorder="0" applyAlignment="0" applyProtection="0"/>
    <xf numFmtId="0" fontId="126" fillId="0" borderId="2" applyNumberFormat="0" applyFill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8" fillId="0" borderId="0" applyNumberFormat="0" applyFill="0" applyBorder="0" applyAlignment="0" applyProtection="0"/>
    <xf numFmtId="0" fontId="1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1" fillId="0" borderId="6" applyNumberFormat="0" applyFill="0" applyAlignment="0" applyProtection="0"/>
    <xf numFmtId="0" fontId="0" fillId="22" borderId="7" applyNumberFormat="0" applyFont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6" borderId="0" applyNumberFormat="0" applyBorder="0" applyAlignment="0" applyProtection="0"/>
    <xf numFmtId="0" fontId="123" fillId="27" borderId="0" applyNumberFormat="0" applyBorder="0" applyAlignment="0" applyProtection="0"/>
    <xf numFmtId="0" fontId="123" fillId="28" borderId="0" applyNumberFormat="0" applyBorder="0" applyAlignment="0" applyProtection="0"/>
    <xf numFmtId="0" fontId="132" fillId="29" borderId="0" applyNumberFormat="0" applyBorder="0" applyAlignment="0" applyProtection="0"/>
    <xf numFmtId="0" fontId="133" fillId="30" borderId="8" applyNumberFormat="0" applyAlignment="0" applyProtection="0"/>
    <xf numFmtId="0" fontId="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31" borderId="0" applyNumberFormat="0" applyBorder="0" applyAlignment="0" applyProtection="0"/>
    <xf numFmtId="0" fontId="137" fillId="32" borderId="0" applyNumberFormat="0" applyBorder="0" applyAlignment="0" applyProtection="0"/>
    <xf numFmtId="0" fontId="138" fillId="30" borderId="1" applyNumberFormat="0" applyAlignment="0" applyProtection="0"/>
    <xf numFmtId="9" fontId="0" fillId="0" borderId="0" applyFont="0" applyFill="0" applyBorder="0" applyAlignment="0" applyProtection="0"/>
  </cellStyleXfs>
  <cellXfs count="2261">
    <xf numFmtId="0" fontId="0" fillId="0" borderId="0" xfId="0" applyAlignment="1">
      <alignment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vertical="center" shrinkToFit="1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horizontal="justify" vertical="center" shrinkToFit="1"/>
    </xf>
    <xf numFmtId="0" fontId="17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49" fontId="20" fillId="0" borderId="10" xfId="0" applyNumberFormat="1" applyFont="1" applyFill="1" applyBorder="1" applyAlignment="1">
      <alignment vertical="center" shrinkToFit="1"/>
    </xf>
    <xf numFmtId="49" fontId="22" fillId="0" borderId="11" xfId="0" applyNumberFormat="1" applyFont="1" applyFill="1" applyBorder="1" applyAlignment="1">
      <alignment vertical="center" shrinkToFit="1"/>
    </xf>
    <xf numFmtId="49" fontId="20" fillId="0" borderId="11" xfId="0" applyNumberFormat="1" applyFont="1" applyFill="1" applyBorder="1" applyAlignment="1">
      <alignment vertical="center" shrinkToFit="1"/>
    </xf>
    <xf numFmtId="49" fontId="20" fillId="0" borderId="12" xfId="0" applyNumberFormat="1" applyFont="1" applyFill="1" applyBorder="1" applyAlignment="1">
      <alignment horizontal="justify" vertical="center" shrinkToFit="1"/>
    </xf>
    <xf numFmtId="49" fontId="22" fillId="0" borderId="13" xfId="0" applyNumberFormat="1" applyFont="1" applyFill="1" applyBorder="1" applyAlignment="1">
      <alignment vertical="center" shrinkToFit="1"/>
    </xf>
    <xf numFmtId="0" fontId="20" fillId="0" borderId="12" xfId="0" applyFont="1" applyBorder="1" applyAlignment="1">
      <alignment/>
    </xf>
    <xf numFmtId="3" fontId="13" fillId="0" borderId="0" xfId="69" applyNumberFormat="1" applyFont="1" applyFill="1" applyAlignment="1">
      <alignment vertical="center"/>
      <protection/>
    </xf>
    <xf numFmtId="3" fontId="14" fillId="0" borderId="0" xfId="69" applyNumberFormat="1" applyFont="1" applyFill="1" applyAlignment="1">
      <alignment vertical="center"/>
      <protection/>
    </xf>
    <xf numFmtId="49" fontId="20" fillId="0" borderId="12" xfId="0" applyNumberFormat="1" applyFont="1" applyFill="1" applyBorder="1" applyAlignment="1">
      <alignment vertical="center" shrinkToFit="1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0" borderId="0" xfId="61">
      <alignment/>
      <protection/>
    </xf>
    <xf numFmtId="0" fontId="24" fillId="0" borderId="12" xfId="0" applyFont="1" applyFill="1" applyBorder="1" applyAlignment="1">
      <alignment horizontal="justify" vertical="center" shrinkToFit="1"/>
    </xf>
    <xf numFmtId="0" fontId="25" fillId="0" borderId="0" xfId="61" applyFont="1">
      <alignment/>
      <protection/>
    </xf>
    <xf numFmtId="0" fontId="25" fillId="0" borderId="0" xfId="61" applyFont="1" applyAlignment="1">
      <alignment vertical="center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wrapText="1"/>
    </xf>
    <xf numFmtId="3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 horizontal="left" wrapText="1"/>
    </xf>
    <xf numFmtId="3" fontId="18" fillId="0" borderId="16" xfId="0" applyNumberFormat="1" applyFont="1" applyBorder="1" applyAlignment="1">
      <alignment/>
    </xf>
    <xf numFmtId="0" fontId="18" fillId="0" borderId="17" xfId="0" applyFont="1" applyBorder="1" applyAlignment="1">
      <alignment horizontal="left" wrapText="1"/>
    </xf>
    <xf numFmtId="3" fontId="18" fillId="0" borderId="17" xfId="0" applyNumberFormat="1" applyFont="1" applyBorder="1" applyAlignment="1">
      <alignment/>
    </xf>
    <xf numFmtId="0" fontId="18" fillId="0" borderId="14" xfId="0" applyFont="1" applyBorder="1" applyAlignment="1">
      <alignment horizontal="left" wrapText="1"/>
    </xf>
    <xf numFmtId="3" fontId="18" fillId="0" borderId="14" xfId="0" applyNumberFormat="1" applyFont="1" applyBorder="1" applyAlignment="1">
      <alignment/>
    </xf>
    <xf numFmtId="0" fontId="18" fillId="0" borderId="15" xfId="68" applyFont="1" applyBorder="1" applyAlignment="1">
      <alignment horizontal="left" wrapText="1" shrinkToFit="1"/>
      <protection/>
    </xf>
    <xf numFmtId="3" fontId="18" fillId="0" borderId="16" xfId="61" applyNumberFormat="1" applyFont="1" applyBorder="1">
      <alignment/>
      <protection/>
    </xf>
    <xf numFmtId="0" fontId="18" fillId="0" borderId="11" xfId="0" applyFont="1" applyBorder="1" applyAlignment="1">
      <alignment horizontal="left" wrapText="1"/>
    </xf>
    <xf numFmtId="3" fontId="18" fillId="0" borderId="11" xfId="0" applyNumberFormat="1" applyFont="1" applyBorder="1" applyAlignment="1">
      <alignment/>
    </xf>
    <xf numFmtId="0" fontId="20" fillId="0" borderId="10" xfId="0" applyFont="1" applyBorder="1" applyAlignment="1">
      <alignment/>
    </xf>
    <xf numFmtId="49" fontId="20" fillId="0" borderId="18" xfId="0" applyNumberFormat="1" applyFont="1" applyFill="1" applyBorder="1" applyAlignment="1">
      <alignment vertical="center" shrinkToFit="1"/>
    </xf>
    <xf numFmtId="49" fontId="21" fillId="0" borderId="12" xfId="0" applyNumberFormat="1" applyFont="1" applyFill="1" applyBorder="1" applyAlignment="1">
      <alignment horizontal="justify" vertical="center" shrinkToFit="1"/>
    </xf>
    <xf numFmtId="49" fontId="21" fillId="0" borderId="12" xfId="0" applyNumberFormat="1" applyFont="1" applyFill="1" applyBorder="1" applyAlignment="1">
      <alignment vertical="center" shrinkToFit="1"/>
    </xf>
    <xf numFmtId="0" fontId="24" fillId="0" borderId="10" xfId="0" applyFont="1" applyFill="1" applyBorder="1" applyAlignment="1">
      <alignment horizontal="justify" vertical="center" shrinkToFit="1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 shrinkToFit="1"/>
    </xf>
    <xf numFmtId="0" fontId="29" fillId="0" borderId="0" xfId="0" applyFont="1" applyFill="1" applyAlignment="1">
      <alignment shrinkToFit="1"/>
    </xf>
    <xf numFmtId="3" fontId="31" fillId="0" borderId="0" xfId="69" applyNumberFormat="1" applyFont="1" applyFill="1" applyAlignment="1">
      <alignment vertical="center"/>
      <protection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49" fontId="20" fillId="0" borderId="11" xfId="0" applyNumberFormat="1" applyFont="1" applyFill="1" applyBorder="1" applyAlignment="1">
      <alignment vertical="center" wrapText="1"/>
    </xf>
    <xf numFmtId="3" fontId="30" fillId="0" borderId="0" xfId="0" applyNumberFormat="1" applyFont="1" applyFill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8" fillId="0" borderId="0" xfId="61" applyFont="1" applyAlignment="1">
      <alignment horizontal="right"/>
      <protection/>
    </xf>
    <xf numFmtId="0" fontId="18" fillId="33" borderId="13" xfId="68" applyFont="1" applyFill="1" applyBorder="1" applyAlignment="1">
      <alignment horizontal="left" wrapText="1" shrinkToFit="1"/>
      <protection/>
    </xf>
    <xf numFmtId="3" fontId="18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right"/>
    </xf>
    <xf numFmtId="0" fontId="18" fillId="0" borderId="19" xfId="0" applyFont="1" applyBorder="1" applyAlignment="1">
      <alignment horizontal="left" wrapText="1"/>
    </xf>
    <xf numFmtId="3" fontId="18" fillId="0" borderId="19" xfId="0" applyNumberFormat="1" applyFont="1" applyBorder="1" applyAlignment="1">
      <alignment/>
    </xf>
    <xf numFmtId="0" fontId="27" fillId="0" borderId="0" xfId="61" applyFont="1">
      <alignment/>
      <protection/>
    </xf>
    <xf numFmtId="3" fontId="18" fillId="0" borderId="14" xfId="61" applyNumberFormat="1" applyFont="1" applyBorder="1">
      <alignment/>
      <protection/>
    </xf>
    <xf numFmtId="3" fontId="18" fillId="0" borderId="17" xfId="61" applyNumberFormat="1" applyFont="1" applyBorder="1">
      <alignment/>
      <protection/>
    </xf>
    <xf numFmtId="0" fontId="0" fillId="0" borderId="0" xfId="0" applyBorder="1" applyAlignment="1">
      <alignment/>
    </xf>
    <xf numFmtId="3" fontId="18" fillId="0" borderId="15" xfId="61" applyNumberFormat="1" applyFont="1" applyBorder="1">
      <alignment/>
      <protection/>
    </xf>
    <xf numFmtId="0" fontId="18" fillId="0" borderId="15" xfId="61" applyFont="1" applyBorder="1">
      <alignment/>
      <protection/>
    </xf>
    <xf numFmtId="0" fontId="18" fillId="0" borderId="16" xfId="61" applyFont="1" applyBorder="1">
      <alignment/>
      <protection/>
    </xf>
    <xf numFmtId="0" fontId="18" fillId="0" borderId="17" xfId="61" applyFont="1" applyBorder="1">
      <alignment/>
      <protection/>
    </xf>
    <xf numFmtId="0" fontId="0" fillId="0" borderId="0" xfId="61" applyFont="1">
      <alignment/>
      <protection/>
    </xf>
    <xf numFmtId="0" fontId="18" fillId="0" borderId="20" xfId="0" applyFont="1" applyBorder="1" applyAlignment="1">
      <alignment horizontal="left" wrapText="1"/>
    </xf>
    <xf numFmtId="3" fontId="18" fillId="0" borderId="20" xfId="0" applyNumberFormat="1" applyFont="1" applyBorder="1" applyAlignment="1">
      <alignment/>
    </xf>
    <xf numFmtId="0" fontId="18" fillId="0" borderId="14" xfId="61" applyFont="1" applyBorder="1">
      <alignment/>
      <protection/>
    </xf>
    <xf numFmtId="3" fontId="33" fillId="0" borderId="0" xfId="69" applyNumberFormat="1" applyFont="1" applyFill="1" applyAlignment="1">
      <alignment vertical="center"/>
      <protection/>
    </xf>
    <xf numFmtId="49" fontId="20" fillId="0" borderId="10" xfId="0" applyNumberFormat="1" applyFont="1" applyFill="1" applyBorder="1" applyAlignment="1">
      <alignment horizontal="justify" vertical="center" shrinkToFit="1"/>
    </xf>
    <xf numFmtId="49" fontId="21" fillId="0" borderId="11" xfId="0" applyNumberFormat="1" applyFont="1" applyFill="1" applyBorder="1" applyAlignment="1">
      <alignment vertical="center" wrapText="1"/>
    </xf>
    <xf numFmtId="3" fontId="27" fillId="0" borderId="0" xfId="61" applyNumberFormat="1" applyFont="1">
      <alignment/>
      <protection/>
    </xf>
    <xf numFmtId="3" fontId="0" fillId="0" borderId="0" xfId="61" applyNumberFormat="1" applyFont="1">
      <alignment/>
      <protection/>
    </xf>
    <xf numFmtId="0" fontId="21" fillId="0" borderId="11" xfId="0" applyFont="1" applyBorder="1" applyAlignment="1">
      <alignment horizontal="left" vertical="center" shrinkToFit="1"/>
    </xf>
    <xf numFmtId="0" fontId="35" fillId="0" borderId="0" xfId="0" applyFont="1" applyFill="1" applyBorder="1" applyAlignment="1">
      <alignment vertical="center" shrinkToFit="1"/>
    </xf>
    <xf numFmtId="0" fontId="21" fillId="0" borderId="12" xfId="0" applyFont="1" applyBorder="1" applyAlignment="1">
      <alignment horizontal="left" vertical="center" shrinkToFit="1"/>
    </xf>
    <xf numFmtId="49" fontId="20" fillId="0" borderId="12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vertical="center" shrinkToFit="1"/>
    </xf>
    <xf numFmtId="49" fontId="20" fillId="0" borderId="11" xfId="0" applyNumberFormat="1" applyFont="1" applyFill="1" applyBorder="1" applyAlignment="1">
      <alignment horizontal="justify" vertical="center" shrinkToFit="1"/>
    </xf>
    <xf numFmtId="49" fontId="20" fillId="0" borderId="18" xfId="0" applyNumberFormat="1" applyFont="1" applyFill="1" applyBorder="1" applyAlignment="1">
      <alignment horizontal="justify" vertical="center" shrinkToFit="1"/>
    </xf>
    <xf numFmtId="0" fontId="18" fillId="0" borderId="16" xfId="68" applyFont="1" applyBorder="1" applyAlignment="1">
      <alignment horizontal="left" wrapText="1" shrinkToFit="1"/>
      <protection/>
    </xf>
    <xf numFmtId="3" fontId="18" fillId="0" borderId="15" xfId="61" applyNumberFormat="1" applyFont="1" applyBorder="1" applyAlignment="1">
      <alignment horizontal="right"/>
      <protection/>
    </xf>
    <xf numFmtId="3" fontId="18" fillId="0" borderId="16" xfId="61" applyNumberFormat="1" applyFont="1" applyBorder="1" applyAlignment="1">
      <alignment horizontal="right"/>
      <protection/>
    </xf>
    <xf numFmtId="0" fontId="37" fillId="0" borderId="0" xfId="0" applyFont="1" applyFill="1" applyBorder="1" applyAlignment="1">
      <alignment vertical="center" shrinkToFit="1"/>
    </xf>
    <xf numFmtId="3" fontId="37" fillId="0" borderId="0" xfId="0" applyNumberFormat="1" applyFont="1" applyFill="1" applyBorder="1" applyAlignment="1">
      <alignment vertical="center" shrinkToFit="1"/>
    </xf>
    <xf numFmtId="3" fontId="18" fillId="0" borderId="14" xfId="61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3" fontId="7" fillId="0" borderId="0" xfId="0" applyNumberFormat="1" applyFont="1" applyFill="1" applyAlignment="1">
      <alignment shrinkToFit="1"/>
    </xf>
    <xf numFmtId="0" fontId="18" fillId="0" borderId="14" xfId="61" applyFont="1" applyBorder="1" applyAlignment="1">
      <alignment horizontal="left"/>
      <protection/>
    </xf>
    <xf numFmtId="0" fontId="36" fillId="0" borderId="0" xfId="0" applyFont="1" applyFill="1" applyAlignment="1">
      <alignment vertical="center" shrinkToFit="1"/>
    </xf>
    <xf numFmtId="49" fontId="21" fillId="0" borderId="21" xfId="0" applyNumberFormat="1" applyFont="1" applyFill="1" applyBorder="1" applyAlignment="1">
      <alignment horizontal="justify" vertical="center" shrinkToFit="1"/>
    </xf>
    <xf numFmtId="49" fontId="20" fillId="0" borderId="10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21" fillId="0" borderId="13" xfId="0" applyNumberFormat="1" applyFont="1" applyFill="1" applyBorder="1" applyAlignment="1">
      <alignment horizontal="right" vertical="center" shrinkToFit="1"/>
    </xf>
    <xf numFmtId="3" fontId="21" fillId="0" borderId="11" xfId="0" applyNumberFormat="1" applyFont="1" applyFill="1" applyBorder="1" applyAlignment="1">
      <alignment horizontal="right" vertical="center" shrinkToFit="1"/>
    </xf>
    <xf numFmtId="3" fontId="21" fillId="0" borderId="21" xfId="0" applyNumberFormat="1" applyFont="1" applyFill="1" applyBorder="1" applyAlignment="1">
      <alignment horizontal="right" vertical="center" shrinkToFit="1"/>
    </xf>
    <xf numFmtId="3" fontId="20" fillId="0" borderId="21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 horizontal="right" vertical="center" shrinkToFit="1"/>
    </xf>
    <xf numFmtId="3" fontId="34" fillId="0" borderId="10" xfId="0" applyNumberFormat="1" applyFont="1" applyFill="1" applyBorder="1" applyAlignment="1">
      <alignment horizontal="right" vertical="center" shrinkToFit="1"/>
    </xf>
    <xf numFmtId="3" fontId="20" fillId="0" borderId="12" xfId="0" applyNumberFormat="1" applyFont="1" applyFill="1" applyBorder="1" applyAlignment="1">
      <alignment horizontal="right" vertical="center" shrinkToFit="1"/>
    </xf>
    <xf numFmtId="3" fontId="21" fillId="0" borderId="12" xfId="0" applyNumberFormat="1" applyFont="1" applyFill="1" applyBorder="1" applyAlignment="1">
      <alignment horizontal="right" vertical="center" shrinkToFit="1"/>
    </xf>
    <xf numFmtId="3" fontId="20" fillId="0" borderId="18" xfId="0" applyNumberFormat="1" applyFont="1" applyFill="1" applyBorder="1" applyAlignment="1">
      <alignment horizontal="right" vertical="center" shrinkToFit="1"/>
    </xf>
    <xf numFmtId="3" fontId="20" fillId="0" borderId="11" xfId="0" applyNumberFormat="1" applyFont="1" applyFill="1" applyBorder="1" applyAlignment="1">
      <alignment horizontal="right" vertical="center" shrinkToFit="1"/>
    </xf>
    <xf numFmtId="3" fontId="20" fillId="0" borderId="22" xfId="0" applyNumberFormat="1" applyFont="1" applyFill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19" fillId="0" borderId="13" xfId="69" applyNumberFormat="1" applyFont="1" applyFill="1" applyBorder="1" applyAlignment="1">
      <alignment horizontal="center" vertical="center"/>
      <protection/>
    </xf>
    <xf numFmtId="3" fontId="19" fillId="0" borderId="20" xfId="69" applyNumberFormat="1" applyFont="1" applyFill="1" applyBorder="1" applyAlignment="1">
      <alignment horizontal="center" vertical="center"/>
      <protection/>
    </xf>
    <xf numFmtId="3" fontId="19" fillId="0" borderId="13" xfId="69" applyNumberFormat="1" applyFont="1" applyFill="1" applyBorder="1" applyAlignment="1">
      <alignment horizontal="center" vertical="center" wrapText="1"/>
      <protection/>
    </xf>
    <xf numFmtId="3" fontId="19" fillId="0" borderId="11" xfId="69" applyNumberFormat="1" applyFont="1" applyFill="1" applyBorder="1" applyAlignment="1">
      <alignment horizontal="center" vertical="center" wrapText="1"/>
      <protection/>
    </xf>
    <xf numFmtId="3" fontId="19" fillId="0" borderId="11" xfId="69" applyNumberFormat="1" applyFont="1" applyFill="1" applyBorder="1" applyAlignment="1">
      <alignment horizontal="center" vertical="center"/>
      <protection/>
    </xf>
    <xf numFmtId="3" fontId="19" fillId="0" borderId="20" xfId="69" applyNumberFormat="1" applyFont="1" applyFill="1" applyBorder="1" applyAlignment="1">
      <alignment horizontal="center" vertical="center" wrapText="1"/>
      <protection/>
    </xf>
    <xf numFmtId="3" fontId="21" fillId="0" borderId="23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0" fillId="0" borderId="0" xfId="0" applyFont="1" applyAlignment="1">
      <alignment/>
    </xf>
    <xf numFmtId="0" fontId="24" fillId="0" borderId="27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28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center" shrinkToFit="1"/>
    </xf>
    <xf numFmtId="2" fontId="20" fillId="0" borderId="0" xfId="0" applyNumberFormat="1" applyFont="1" applyFill="1" applyAlignment="1">
      <alignment shrinkToFit="1"/>
    </xf>
    <xf numFmtId="0" fontId="20" fillId="0" borderId="0" xfId="0" applyFont="1" applyFill="1" applyAlignment="1">
      <alignment horizontal="justify" shrinkToFit="1"/>
    </xf>
    <xf numFmtId="0" fontId="20" fillId="0" borderId="0" xfId="0" applyFont="1" applyFill="1" applyAlignment="1">
      <alignment horizontal="right" shrinkToFit="1"/>
    </xf>
    <xf numFmtId="0" fontId="20" fillId="0" borderId="29" xfId="0" applyFont="1" applyFill="1" applyBorder="1" applyAlignment="1">
      <alignment horizontal="center" shrinkToFit="1"/>
    </xf>
    <xf numFmtId="2" fontId="20" fillId="0" borderId="30" xfId="0" applyNumberFormat="1" applyFont="1" applyFill="1" applyBorder="1" applyAlignment="1">
      <alignment shrinkToFit="1"/>
    </xf>
    <xf numFmtId="0" fontId="20" fillId="0" borderId="13" xfId="0" applyFont="1" applyFill="1" applyBorder="1" applyAlignment="1">
      <alignment horizontal="justify" shrinkToFit="1"/>
    </xf>
    <xf numFmtId="0" fontId="20" fillId="0" borderId="31" xfId="0" applyFont="1" applyFill="1" applyBorder="1" applyAlignment="1">
      <alignment horizont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shrinkToFit="1"/>
    </xf>
    <xf numFmtId="0" fontId="20" fillId="0" borderId="33" xfId="0" applyFont="1" applyFill="1" applyBorder="1" applyAlignment="1">
      <alignment horizontal="center" shrinkToFit="1"/>
    </xf>
    <xf numFmtId="2" fontId="20" fillId="0" borderId="34" xfId="0" applyNumberFormat="1" applyFont="1" applyFill="1" applyBorder="1" applyAlignment="1">
      <alignment shrinkToFit="1"/>
    </xf>
    <xf numFmtId="0" fontId="40" fillId="0" borderId="20" xfId="0" applyFont="1" applyFill="1" applyBorder="1" applyAlignment="1">
      <alignment horizontal="justify" shrinkToFit="1"/>
    </xf>
    <xf numFmtId="0" fontId="40" fillId="0" borderId="35" xfId="0" applyFont="1" applyFill="1" applyBorder="1" applyAlignment="1">
      <alignment horizontal="center" shrinkToFit="1"/>
    </xf>
    <xf numFmtId="2" fontId="21" fillId="0" borderId="36" xfId="0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horizontal="right" vertical="center" shrinkToFit="1"/>
    </xf>
    <xf numFmtId="3" fontId="21" fillId="0" borderId="37" xfId="0" applyNumberFormat="1" applyFont="1" applyFill="1" applyBorder="1" applyAlignment="1">
      <alignment horizontal="right" vertical="center" shrinkToFit="1"/>
    </xf>
    <xf numFmtId="3" fontId="20" fillId="0" borderId="12" xfId="69" applyNumberFormat="1" applyFont="1" applyFill="1" applyBorder="1" applyAlignment="1" quotePrefix="1">
      <alignment horizontal="center" vertical="center"/>
      <protection/>
    </xf>
    <xf numFmtId="3" fontId="20" fillId="0" borderId="21" xfId="0" applyNumberFormat="1" applyFont="1" applyFill="1" applyBorder="1" applyAlignment="1">
      <alignment horizontal="right" vertical="center" shrinkToFit="1"/>
    </xf>
    <xf numFmtId="3" fontId="21" fillId="0" borderId="38" xfId="0" applyNumberFormat="1" applyFont="1" applyFill="1" applyBorder="1" applyAlignment="1">
      <alignment horizontal="right" vertical="center" shrinkToFit="1"/>
    </xf>
    <xf numFmtId="0" fontId="41" fillId="0" borderId="32" xfId="0" applyFont="1" applyFill="1" applyBorder="1" applyAlignment="1">
      <alignment horizontal="center" vertical="center" shrinkToFit="1"/>
    </xf>
    <xf numFmtId="2" fontId="34" fillId="0" borderId="12" xfId="0" applyNumberFormat="1" applyFont="1" applyFill="1" applyBorder="1" applyAlignment="1" quotePrefix="1">
      <alignment horizontal="left" vertical="center" indent="1" shrinkToFit="1"/>
    </xf>
    <xf numFmtId="3" fontId="34" fillId="0" borderId="12" xfId="0" applyNumberFormat="1" applyFont="1" applyFill="1" applyBorder="1" applyAlignment="1">
      <alignment horizontal="right" vertical="center" shrinkToFit="1"/>
    </xf>
    <xf numFmtId="3" fontId="41" fillId="0" borderId="38" xfId="0" applyNumberFormat="1" applyFont="1" applyFill="1" applyBorder="1" applyAlignment="1">
      <alignment horizontal="right" vertical="center" shrinkToFit="1"/>
    </xf>
    <xf numFmtId="3" fontId="34" fillId="0" borderId="12" xfId="69" applyNumberFormat="1" applyFont="1" applyFill="1" applyBorder="1" applyAlignment="1" quotePrefix="1">
      <alignment horizontal="center" vertical="center"/>
      <protection/>
    </xf>
    <xf numFmtId="2" fontId="21" fillId="0" borderId="12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horizontal="justify" vertical="center" shrinkToFit="1"/>
    </xf>
    <xf numFmtId="0" fontId="20" fillId="0" borderId="32" xfId="0" applyFont="1" applyFill="1" applyBorder="1" applyAlignment="1">
      <alignment horizontal="center" shrinkToFit="1"/>
    </xf>
    <xf numFmtId="2" fontId="20" fillId="0" borderId="21" xfId="0" applyNumberFormat="1" applyFont="1" applyFill="1" applyBorder="1" applyAlignment="1">
      <alignment shrinkToFit="1"/>
    </xf>
    <xf numFmtId="3" fontId="20" fillId="0" borderId="21" xfId="0" applyNumberFormat="1" applyFont="1" applyFill="1" applyBorder="1" applyAlignment="1">
      <alignment horizontal="right" shrinkToFit="1"/>
    </xf>
    <xf numFmtId="0" fontId="34" fillId="0" borderId="32" xfId="0" applyFont="1" applyFill="1" applyBorder="1" applyAlignment="1">
      <alignment horizontal="center" shrinkToFit="1"/>
    </xf>
    <xf numFmtId="2" fontId="34" fillId="0" borderId="21" xfId="0" applyNumberFormat="1" applyFont="1" applyFill="1" applyBorder="1" applyAlignment="1" quotePrefix="1">
      <alignment horizontal="left" indent="1" shrinkToFit="1"/>
    </xf>
    <xf numFmtId="3" fontId="34" fillId="0" borderId="21" xfId="0" applyNumberFormat="1" applyFont="1" applyFill="1" applyBorder="1" applyAlignment="1">
      <alignment horizontal="right" shrinkToFit="1"/>
    </xf>
    <xf numFmtId="2" fontId="20" fillId="0" borderId="12" xfId="0" applyNumberFormat="1" applyFont="1" applyFill="1" applyBorder="1" applyAlignment="1">
      <alignment shrinkToFit="1"/>
    </xf>
    <xf numFmtId="3" fontId="20" fillId="0" borderId="12" xfId="0" applyNumberFormat="1" applyFont="1" applyFill="1" applyBorder="1" applyAlignment="1">
      <alignment horizontal="right" shrinkToFit="1"/>
    </xf>
    <xf numFmtId="3" fontId="21" fillId="0" borderId="39" xfId="0" applyNumberFormat="1" applyFont="1" applyFill="1" applyBorder="1" applyAlignment="1">
      <alignment horizontal="right" vertical="center" shrinkToFit="1"/>
    </xf>
    <xf numFmtId="3" fontId="20" fillId="0" borderId="11" xfId="0" applyNumberFormat="1" applyFont="1" applyFill="1" applyBorder="1" applyAlignment="1">
      <alignment horizontal="right" shrinkToFit="1"/>
    </xf>
    <xf numFmtId="2" fontId="21" fillId="0" borderId="23" xfId="0" applyNumberFormat="1" applyFont="1" applyFill="1" applyBorder="1" applyAlignment="1">
      <alignment horizontal="center" shrinkToFit="1"/>
    </xf>
    <xf numFmtId="3" fontId="21" fillId="0" borderId="40" xfId="0" applyNumberFormat="1" applyFont="1" applyFill="1" applyBorder="1" applyAlignment="1">
      <alignment horizontal="right" shrinkToFit="1"/>
    </xf>
    <xf numFmtId="3" fontId="21" fillId="0" borderId="41" xfId="0" applyNumberFormat="1" applyFont="1" applyFill="1" applyBorder="1" applyAlignment="1">
      <alignment horizontal="right" shrinkToFit="1"/>
    </xf>
    <xf numFmtId="2" fontId="21" fillId="0" borderId="42" xfId="0" applyNumberFormat="1" applyFont="1" applyFill="1" applyBorder="1" applyAlignment="1">
      <alignment horizontal="center" shrinkToFit="1"/>
    </xf>
    <xf numFmtId="3" fontId="20" fillId="0" borderId="43" xfId="69" applyNumberFormat="1" applyFont="1" applyFill="1" applyBorder="1" applyAlignment="1" quotePrefix="1">
      <alignment horizontal="center" vertical="center"/>
      <protection/>
    </xf>
    <xf numFmtId="3" fontId="21" fillId="0" borderId="14" xfId="0" applyNumberFormat="1" applyFont="1" applyFill="1" applyBorder="1" applyAlignment="1">
      <alignment horizontal="right" shrinkToFit="1"/>
    </xf>
    <xf numFmtId="3" fontId="21" fillId="0" borderId="44" xfId="0" applyNumberFormat="1" applyFont="1" applyFill="1" applyBorder="1" applyAlignment="1">
      <alignment horizontal="right" shrinkToFit="1"/>
    </xf>
    <xf numFmtId="2" fontId="21" fillId="0" borderId="45" xfId="0" applyNumberFormat="1" applyFont="1" applyFill="1" applyBorder="1" applyAlignment="1">
      <alignment horizontal="center" shrinkToFit="1"/>
    </xf>
    <xf numFmtId="3" fontId="21" fillId="0" borderId="12" xfId="0" applyNumberFormat="1" applyFont="1" applyFill="1" applyBorder="1" applyAlignment="1">
      <alignment horizontal="right" shrinkToFit="1"/>
    </xf>
    <xf numFmtId="3" fontId="21" fillId="0" borderId="46" xfId="0" applyNumberFormat="1" applyFont="1" applyFill="1" applyBorder="1" applyAlignment="1">
      <alignment horizontal="right" shrinkToFit="1"/>
    </xf>
    <xf numFmtId="3" fontId="21" fillId="0" borderId="47" xfId="0" applyNumberFormat="1" applyFont="1" applyFill="1" applyBorder="1" applyAlignment="1">
      <alignment horizontal="right" shrinkToFit="1"/>
    </xf>
    <xf numFmtId="3" fontId="21" fillId="0" borderId="48" xfId="0" applyNumberFormat="1" applyFont="1" applyFill="1" applyBorder="1" applyAlignment="1">
      <alignment horizontal="right" vertical="center" shrinkToFit="1"/>
    </xf>
    <xf numFmtId="3" fontId="21" fillId="0" borderId="49" xfId="0" applyNumberFormat="1" applyFont="1" applyFill="1" applyBorder="1" applyAlignment="1">
      <alignment horizontal="right" vertical="center" shrinkToFit="1"/>
    </xf>
    <xf numFmtId="2" fontId="21" fillId="0" borderId="32" xfId="0" applyNumberFormat="1" applyFont="1" applyFill="1" applyBorder="1" applyAlignment="1">
      <alignment horizontal="center" vertical="center" shrinkToFit="1"/>
    </xf>
    <xf numFmtId="3" fontId="20" fillId="0" borderId="21" xfId="69" applyNumberFormat="1" applyFont="1" applyFill="1" applyBorder="1" applyAlignment="1" quotePrefix="1">
      <alignment horizontal="center" vertical="center"/>
      <protection/>
    </xf>
    <xf numFmtId="3" fontId="21" fillId="0" borderId="50" xfId="0" applyNumberFormat="1" applyFont="1" applyFill="1" applyBorder="1" applyAlignment="1">
      <alignment horizontal="right" vertical="center" shrinkToFit="1"/>
    </xf>
    <xf numFmtId="2" fontId="21" fillId="0" borderId="45" xfId="0" applyNumberFormat="1" applyFont="1" applyFill="1" applyBorder="1" applyAlignment="1">
      <alignment horizontal="center" vertical="center" shrinkToFit="1"/>
    </xf>
    <xf numFmtId="3" fontId="21" fillId="0" borderId="46" xfId="0" applyNumberFormat="1" applyFont="1" applyFill="1" applyBorder="1" applyAlignment="1">
      <alignment horizontal="righ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2" fontId="21" fillId="0" borderId="51" xfId="0" applyNumberFormat="1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horizontal="right" vertical="center" shrinkToFit="1"/>
    </xf>
    <xf numFmtId="3" fontId="21" fillId="0" borderId="52" xfId="0" applyNumberFormat="1" applyFont="1" applyFill="1" applyBorder="1" applyAlignment="1">
      <alignment horizontal="right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3" fontId="21" fillId="0" borderId="40" xfId="0" applyNumberFormat="1" applyFont="1" applyFill="1" applyBorder="1" applyAlignment="1">
      <alignment horizontal="right" vertical="center" shrinkToFit="1"/>
    </xf>
    <xf numFmtId="3" fontId="21" fillId="0" borderId="53" xfId="0" applyNumberFormat="1" applyFont="1" applyFill="1" applyBorder="1" applyAlignment="1">
      <alignment horizontal="right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3" fontId="21" fillId="0" borderId="54" xfId="0" applyNumberFormat="1" applyFont="1" applyFill="1" applyBorder="1" applyAlignment="1">
      <alignment horizontal="right" vertical="center" shrinkToFit="1"/>
    </xf>
    <xf numFmtId="3" fontId="20" fillId="0" borderId="55" xfId="69" applyNumberFormat="1" applyFont="1" applyFill="1" applyBorder="1" applyAlignment="1" quotePrefix="1">
      <alignment horizontal="center" vertical="center"/>
      <protection/>
    </xf>
    <xf numFmtId="3" fontId="20" fillId="0" borderId="18" xfId="69" applyNumberFormat="1" applyFont="1" applyFill="1" applyBorder="1" applyAlignment="1" quotePrefix="1">
      <alignment horizontal="center" vertical="center"/>
      <protection/>
    </xf>
    <xf numFmtId="3" fontId="21" fillId="0" borderId="56" xfId="0" applyNumberFormat="1" applyFont="1" applyFill="1" applyBorder="1" applyAlignment="1">
      <alignment horizontal="right" vertical="center" shrinkToFit="1"/>
    </xf>
    <xf numFmtId="2" fontId="20" fillId="0" borderId="27" xfId="0" applyNumberFormat="1" applyFont="1" applyFill="1" applyBorder="1" applyAlignment="1">
      <alignment shrinkToFit="1"/>
    </xf>
    <xf numFmtId="2" fontId="21" fillId="0" borderId="11" xfId="0" applyNumberFormat="1" applyFont="1" applyFill="1" applyBorder="1" applyAlignment="1">
      <alignment vertical="center" shrinkToFit="1"/>
    </xf>
    <xf numFmtId="0" fontId="40" fillId="0" borderId="11" xfId="0" applyFont="1" applyFill="1" applyBorder="1" applyAlignment="1">
      <alignment horizontal="justify" vertical="center" shrinkToFit="1"/>
    </xf>
    <xf numFmtId="0" fontId="40" fillId="34" borderId="11" xfId="0" applyFont="1" applyFill="1" applyBorder="1" applyAlignment="1">
      <alignment horizontal="justify" vertical="center" shrinkToFit="1"/>
    </xf>
    <xf numFmtId="0" fontId="40" fillId="0" borderId="56" xfId="0" applyFont="1" applyFill="1" applyBorder="1" applyAlignment="1">
      <alignment horizontal="center" vertical="center" shrinkToFit="1"/>
    </xf>
    <xf numFmtId="3" fontId="20" fillId="34" borderId="21" xfId="0" applyNumberFormat="1" applyFont="1" applyFill="1" applyBorder="1" applyAlignment="1">
      <alignment horizontal="right" shrinkToFit="1"/>
    </xf>
    <xf numFmtId="3" fontId="21" fillId="0" borderId="38" xfId="0" applyNumberFormat="1" applyFont="1" applyFill="1" applyBorder="1" applyAlignment="1">
      <alignment horizontal="right" shrinkToFit="1"/>
    </xf>
    <xf numFmtId="3" fontId="20" fillId="34" borderId="12" xfId="0" applyNumberFormat="1" applyFont="1" applyFill="1" applyBorder="1" applyAlignment="1">
      <alignment horizontal="right" shrinkToFit="1"/>
    </xf>
    <xf numFmtId="3" fontId="20" fillId="0" borderId="10" xfId="0" applyNumberFormat="1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horizontal="left" vertical="center" wrapText="1" indent="1"/>
    </xf>
    <xf numFmtId="3" fontId="34" fillId="34" borderId="12" xfId="0" applyNumberFormat="1" applyFont="1" applyFill="1" applyBorder="1" applyAlignment="1">
      <alignment horizontal="right" shrinkToFit="1"/>
    </xf>
    <xf numFmtId="3" fontId="41" fillId="0" borderId="38" xfId="0" applyNumberFormat="1" applyFont="1" applyFill="1" applyBorder="1" applyAlignment="1">
      <alignment horizontal="right" shrinkToFit="1"/>
    </xf>
    <xf numFmtId="3" fontId="34" fillId="0" borderId="11" xfId="0" applyNumberFormat="1" applyFont="1" applyFill="1" applyBorder="1" applyAlignment="1">
      <alignment horizontal="right" shrinkToFit="1"/>
    </xf>
    <xf numFmtId="3" fontId="34" fillId="34" borderId="11" xfId="0" applyNumberFormat="1" applyFont="1" applyFill="1" applyBorder="1" applyAlignment="1">
      <alignment horizontal="right" shrinkToFit="1"/>
    </xf>
    <xf numFmtId="3" fontId="34" fillId="0" borderId="12" xfId="0" applyNumberFormat="1" applyFont="1" applyFill="1" applyBorder="1" applyAlignment="1">
      <alignment horizontal="right" shrinkToFit="1"/>
    </xf>
    <xf numFmtId="3" fontId="34" fillId="0" borderId="12" xfId="0" applyNumberFormat="1" applyFont="1" applyFill="1" applyBorder="1" applyAlignment="1">
      <alignment horizontal="left" vertical="center" wrapText="1" indent="1"/>
    </xf>
    <xf numFmtId="3" fontId="21" fillId="34" borderId="40" xfId="0" applyNumberFormat="1" applyFont="1" applyFill="1" applyBorder="1" applyAlignment="1">
      <alignment horizontal="right" shrinkToFit="1"/>
    </xf>
    <xf numFmtId="3" fontId="21" fillId="0" borderId="53" xfId="0" applyNumberFormat="1" applyFont="1" applyFill="1" applyBorder="1" applyAlignment="1">
      <alignment horizontal="right" shrinkToFit="1"/>
    </xf>
    <xf numFmtId="3" fontId="21" fillId="34" borderId="14" xfId="0" applyNumberFormat="1" applyFont="1" applyFill="1" applyBorder="1" applyAlignment="1">
      <alignment horizontal="right" shrinkToFit="1"/>
    </xf>
    <xf numFmtId="3" fontId="21" fillId="0" borderId="57" xfId="0" applyNumberFormat="1" applyFont="1" applyFill="1" applyBorder="1" applyAlignment="1">
      <alignment horizontal="right" shrinkToFit="1"/>
    </xf>
    <xf numFmtId="2" fontId="21" fillId="0" borderId="32" xfId="0" applyNumberFormat="1" applyFont="1" applyFill="1" applyBorder="1" applyAlignment="1">
      <alignment horizontal="center" shrinkToFit="1"/>
    </xf>
    <xf numFmtId="3" fontId="21" fillId="34" borderId="12" xfId="0" applyNumberFormat="1" applyFont="1" applyFill="1" applyBorder="1" applyAlignment="1">
      <alignment horizontal="right" shrinkToFit="1"/>
    </xf>
    <xf numFmtId="3" fontId="21" fillId="0" borderId="39" xfId="0" applyNumberFormat="1" applyFont="1" applyFill="1" applyBorder="1" applyAlignment="1">
      <alignment horizontal="right" shrinkToFit="1"/>
    </xf>
    <xf numFmtId="3" fontId="21" fillId="0" borderId="11" xfId="0" applyNumberFormat="1" applyFont="1" applyFill="1" applyBorder="1" applyAlignment="1">
      <alignment horizontal="right" shrinkToFit="1"/>
    </xf>
    <xf numFmtId="3" fontId="21" fillId="34" borderId="11" xfId="0" applyNumberFormat="1" applyFont="1" applyFill="1" applyBorder="1" applyAlignment="1">
      <alignment horizontal="right" shrinkToFit="1"/>
    </xf>
    <xf numFmtId="3" fontId="21" fillId="0" borderId="56" xfId="0" applyNumberFormat="1" applyFont="1" applyFill="1" applyBorder="1" applyAlignment="1">
      <alignment horizontal="right" shrinkToFit="1"/>
    </xf>
    <xf numFmtId="2" fontId="21" fillId="0" borderId="40" xfId="0" applyNumberFormat="1" applyFont="1" applyFill="1" applyBorder="1" applyAlignment="1">
      <alignment vertical="center" shrinkToFit="1"/>
    </xf>
    <xf numFmtId="3" fontId="20" fillId="34" borderId="40" xfId="0" applyNumberFormat="1" applyFont="1" applyFill="1" applyBorder="1" applyAlignment="1">
      <alignment horizontal="right" vertical="center" shrinkToFit="1"/>
    </xf>
    <xf numFmtId="3" fontId="20" fillId="0" borderId="40" xfId="0" applyNumberFormat="1" applyFont="1" applyFill="1" applyBorder="1" applyAlignment="1">
      <alignment horizontal="right" vertical="center" shrinkToFit="1"/>
    </xf>
    <xf numFmtId="3" fontId="20" fillId="34" borderId="11" xfId="0" applyNumberFormat="1" applyFont="1" applyFill="1" applyBorder="1" applyAlignment="1">
      <alignment horizontal="right" shrinkToFit="1"/>
    </xf>
    <xf numFmtId="3" fontId="21" fillId="34" borderId="51" xfId="0" applyNumberFormat="1" applyFont="1" applyFill="1" applyBorder="1" applyAlignment="1">
      <alignment horizontal="right" shrinkToFit="1"/>
    </xf>
    <xf numFmtId="3" fontId="21" fillId="0" borderId="51" xfId="0" applyNumberFormat="1" applyFont="1" applyFill="1" applyBorder="1" applyAlignment="1">
      <alignment horizontal="right" shrinkToFit="1"/>
    </xf>
    <xf numFmtId="3" fontId="21" fillId="0" borderId="52" xfId="0" applyNumberFormat="1" applyFont="1" applyFill="1" applyBorder="1" applyAlignment="1">
      <alignment horizontal="right" shrinkToFit="1"/>
    </xf>
    <xf numFmtId="3" fontId="21" fillId="0" borderId="58" xfId="0" applyNumberFormat="1" applyFont="1" applyFill="1" applyBorder="1" applyAlignment="1">
      <alignment horizontal="right" shrinkToFit="1"/>
    </xf>
    <xf numFmtId="0" fontId="20" fillId="0" borderId="59" xfId="0" applyFont="1" applyFill="1" applyBorder="1" applyAlignment="1">
      <alignment horizontal="center" shrinkToFit="1"/>
    </xf>
    <xf numFmtId="0" fontId="20" fillId="0" borderId="60" xfId="0" applyFont="1" applyFill="1" applyBorder="1" applyAlignment="1">
      <alignment horizontal="center" shrinkToFit="1"/>
    </xf>
    <xf numFmtId="3" fontId="21" fillId="0" borderId="50" xfId="0" applyNumberFormat="1" applyFont="1" applyFill="1" applyBorder="1" applyAlignment="1">
      <alignment horizontal="right" shrinkToFit="1"/>
    </xf>
    <xf numFmtId="0" fontId="21" fillId="0" borderId="23" xfId="0" applyFont="1" applyFill="1" applyBorder="1" applyAlignment="1">
      <alignment horizontal="center" shrinkToFit="1"/>
    </xf>
    <xf numFmtId="2" fontId="21" fillId="0" borderId="40" xfId="0" applyNumberFormat="1" applyFont="1" applyFill="1" applyBorder="1" applyAlignment="1">
      <alignment shrinkToFit="1"/>
    </xf>
    <xf numFmtId="3" fontId="21" fillId="0" borderId="61" xfId="0" applyNumberFormat="1" applyFont="1" applyFill="1" applyBorder="1" applyAlignment="1">
      <alignment horizontal="right" shrinkToFit="1"/>
    </xf>
    <xf numFmtId="0" fontId="20" fillId="0" borderId="45" xfId="0" applyFont="1" applyFill="1" applyBorder="1" applyAlignment="1">
      <alignment horizontal="center" shrinkToFit="1"/>
    </xf>
    <xf numFmtId="2" fontId="20" fillId="0" borderId="11" xfId="0" applyNumberFormat="1" applyFont="1" applyFill="1" applyBorder="1" applyAlignment="1">
      <alignment shrinkToFit="1"/>
    </xf>
    <xf numFmtId="0" fontId="21" fillId="0" borderId="42" xfId="0" applyFont="1" applyFill="1" applyBorder="1" applyAlignment="1">
      <alignment horizontal="center" shrinkToFit="1"/>
    </xf>
    <xf numFmtId="0" fontId="21" fillId="0" borderId="45" xfId="0" applyFont="1" applyFill="1" applyBorder="1" applyAlignment="1">
      <alignment horizontal="center" shrinkToFit="1"/>
    </xf>
    <xf numFmtId="0" fontId="21" fillId="0" borderId="62" xfId="0" applyFont="1" applyFill="1" applyBorder="1" applyAlignment="1">
      <alignment horizontal="center" shrinkToFit="1"/>
    </xf>
    <xf numFmtId="0" fontId="21" fillId="0" borderId="32" xfId="0" applyFont="1" applyFill="1" applyBorder="1" applyAlignment="1">
      <alignment horizontal="center" shrinkToFit="1"/>
    </xf>
    <xf numFmtId="2" fontId="21" fillId="0" borderId="12" xfId="0" applyNumberFormat="1" applyFont="1" applyFill="1" applyBorder="1" applyAlignment="1">
      <alignment shrinkToFit="1"/>
    </xf>
    <xf numFmtId="3" fontId="21" fillId="0" borderId="63" xfId="0" applyNumberFormat="1" applyFont="1" applyFill="1" applyBorder="1" applyAlignment="1">
      <alignment horizontal="right" shrinkToFit="1"/>
    </xf>
    <xf numFmtId="3" fontId="21" fillId="0" borderId="64" xfId="0" applyNumberFormat="1" applyFont="1" applyFill="1" applyBorder="1" applyAlignment="1">
      <alignment horizontal="right" vertical="center" shrinkToFit="1"/>
    </xf>
    <xf numFmtId="3" fontId="21" fillId="0" borderId="65" xfId="0" applyNumberFormat="1" applyFont="1" applyFill="1" applyBorder="1" applyAlignment="1">
      <alignment horizontal="right" vertical="center" shrinkToFit="1"/>
    </xf>
    <xf numFmtId="3" fontId="20" fillId="0" borderId="36" xfId="69" applyNumberFormat="1" applyFont="1" applyFill="1" applyBorder="1" applyAlignment="1" quotePrefix="1">
      <alignment horizontal="center" vertical="center"/>
      <protection/>
    </xf>
    <xf numFmtId="3" fontId="21" fillId="0" borderId="28" xfId="0" applyNumberFormat="1" applyFont="1" applyFill="1" applyBorder="1" applyAlignment="1">
      <alignment horizontal="right" shrinkToFit="1"/>
    </xf>
    <xf numFmtId="3" fontId="21" fillId="0" borderId="13" xfId="0" applyNumberFormat="1" applyFont="1" applyFill="1" applyBorder="1" applyAlignment="1">
      <alignment horizontal="right" shrinkToFit="1"/>
    </xf>
    <xf numFmtId="3" fontId="21" fillId="0" borderId="31" xfId="0" applyNumberFormat="1" applyFont="1" applyFill="1" applyBorder="1" applyAlignment="1">
      <alignment horizontal="right" shrinkToFit="1"/>
    </xf>
    <xf numFmtId="3" fontId="21" fillId="0" borderId="66" xfId="0" applyNumberFormat="1" applyFont="1" applyFill="1" applyBorder="1" applyAlignment="1">
      <alignment horizontal="right" shrinkToFit="1"/>
    </xf>
    <xf numFmtId="3" fontId="20" fillId="0" borderId="67" xfId="69" applyNumberFormat="1" applyFont="1" applyFill="1" applyBorder="1" applyAlignment="1" quotePrefix="1">
      <alignment horizontal="center" vertical="center"/>
      <protection/>
    </xf>
    <xf numFmtId="0" fontId="40" fillId="0" borderId="0" xfId="0" applyFont="1" applyFill="1" applyAlignment="1">
      <alignment horizontal="justify" shrinkToFit="1"/>
    </xf>
    <xf numFmtId="0" fontId="40" fillId="0" borderId="0" xfId="0" applyFont="1" applyFill="1" applyAlignment="1">
      <alignment horizontal="center" shrinkToFit="1"/>
    </xf>
    <xf numFmtId="0" fontId="24" fillId="0" borderId="33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shrinkToFit="1"/>
    </xf>
    <xf numFmtId="0" fontId="21" fillId="0" borderId="13" xfId="0" applyFont="1" applyFill="1" applyBorder="1" applyAlignment="1">
      <alignment horizontal="center" shrinkToFit="1"/>
    </xf>
    <xf numFmtId="3" fontId="42" fillId="0" borderId="10" xfId="0" applyNumberFormat="1" applyFont="1" applyFill="1" applyBorder="1" applyAlignment="1">
      <alignment horizontal="left" vertical="center" wrapText="1" indent="1"/>
    </xf>
    <xf numFmtId="3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3" fontId="43" fillId="0" borderId="0" xfId="0" applyNumberFormat="1" applyFont="1" applyFill="1" applyBorder="1" applyAlignment="1">
      <alignment horizontal="left" vertical="center"/>
    </xf>
    <xf numFmtId="3" fontId="20" fillId="0" borderId="27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horizontal="left" vertical="center"/>
    </xf>
    <xf numFmtId="3" fontId="21" fillId="0" borderId="27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41" fillId="0" borderId="32" xfId="0" applyNumberFormat="1" applyFont="1" applyFill="1" applyBorder="1" applyAlignment="1">
      <alignment horizontal="center" vertical="center"/>
    </xf>
    <xf numFmtId="3" fontId="41" fillId="0" borderId="68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68" xfId="0" applyNumberFormat="1" applyFont="1" applyFill="1" applyBorder="1" applyAlignment="1">
      <alignment horizontal="center" vertical="center"/>
    </xf>
    <xf numFmtId="3" fontId="20" fillId="0" borderId="69" xfId="0" applyNumberFormat="1" applyFont="1" applyFill="1" applyBorder="1" applyAlignment="1">
      <alignment horizontal="left" vertical="center"/>
    </xf>
    <xf numFmtId="3" fontId="40" fillId="0" borderId="69" xfId="0" applyNumberFormat="1" applyFont="1" applyFill="1" applyBorder="1" applyAlignment="1">
      <alignment horizontal="left" vertical="center"/>
    </xf>
    <xf numFmtId="3" fontId="43" fillId="0" borderId="56" xfId="0" applyNumberFormat="1" applyFont="1" applyFill="1" applyBorder="1" applyAlignment="1">
      <alignment horizontal="left" vertical="center"/>
    </xf>
    <xf numFmtId="3" fontId="20" fillId="0" borderId="12" xfId="0" applyNumberFormat="1" applyFont="1" applyFill="1" applyBorder="1" applyAlignment="1">
      <alignment horizontal="justify" vertical="center"/>
    </xf>
    <xf numFmtId="3" fontId="20" fillId="0" borderId="12" xfId="0" applyNumberFormat="1" applyFont="1" applyFill="1" applyBorder="1" applyAlignment="1">
      <alignment horizontal="right" vertical="center"/>
    </xf>
    <xf numFmtId="3" fontId="21" fillId="0" borderId="39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0" xfId="69" applyNumberFormat="1" applyFont="1" applyFill="1" applyBorder="1" applyAlignment="1" quotePrefix="1">
      <alignment horizontal="center" vertical="center"/>
      <protection/>
    </xf>
    <xf numFmtId="3" fontId="21" fillId="0" borderId="70" xfId="0" applyNumberFormat="1" applyFont="1" applyFill="1" applyBorder="1" applyAlignment="1">
      <alignment horizontal="right" vertical="center"/>
    </xf>
    <xf numFmtId="3" fontId="21" fillId="0" borderId="71" xfId="0" applyNumberFormat="1" applyFont="1" applyFill="1" applyBorder="1" applyAlignment="1">
      <alignment horizontal="center" vertical="center"/>
    </xf>
    <xf numFmtId="3" fontId="21" fillId="0" borderId="72" xfId="0" applyNumberFormat="1" applyFont="1" applyFill="1" applyBorder="1" applyAlignment="1">
      <alignment horizontal="center" vertical="center"/>
    </xf>
    <xf numFmtId="3" fontId="21" fillId="0" borderId="48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21" fillId="0" borderId="3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horizontal="righ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73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left" vertical="center"/>
    </xf>
    <xf numFmtId="3" fontId="40" fillId="0" borderId="10" xfId="0" applyNumberFormat="1" applyFont="1" applyFill="1" applyBorder="1" applyAlignment="1">
      <alignment horizontal="left" vertical="center"/>
    </xf>
    <xf numFmtId="3" fontId="43" fillId="0" borderId="70" xfId="0" applyNumberFormat="1" applyFont="1" applyFill="1" applyBorder="1" applyAlignment="1">
      <alignment horizontal="left" vertical="center"/>
    </xf>
    <xf numFmtId="3" fontId="21" fillId="0" borderId="68" xfId="0" applyNumberFormat="1" applyFont="1" applyFill="1" applyBorder="1" applyAlignment="1">
      <alignment horizontal="center" vertical="center"/>
    </xf>
    <xf numFmtId="3" fontId="21" fillId="0" borderId="68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horizontal="left" vertical="center"/>
    </xf>
    <xf numFmtId="3" fontId="43" fillId="0" borderId="11" xfId="0" applyNumberFormat="1" applyFont="1" applyFill="1" applyBorder="1" applyAlignment="1">
      <alignment horizontal="left" vertical="center"/>
    </xf>
    <xf numFmtId="3" fontId="21" fillId="0" borderId="56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left" vertical="center"/>
    </xf>
    <xf numFmtId="3" fontId="21" fillId="0" borderId="12" xfId="0" applyNumberFormat="1" applyFont="1" applyFill="1" applyBorder="1" applyAlignment="1">
      <alignment horizontal="left" vertical="center"/>
    </xf>
    <xf numFmtId="3" fontId="34" fillId="0" borderId="32" xfId="0" applyNumberFormat="1" applyFont="1" applyFill="1" applyBorder="1" applyAlignment="1">
      <alignment horizontal="center" vertical="center"/>
    </xf>
    <xf numFmtId="3" fontId="34" fillId="0" borderId="68" xfId="0" applyNumberFormat="1" applyFont="1" applyFill="1" applyBorder="1" applyAlignment="1">
      <alignment horizontal="center" vertical="center"/>
    </xf>
    <xf numFmtId="3" fontId="34" fillId="0" borderId="12" xfId="0" applyNumberFormat="1" applyFont="1" applyFill="1" applyBorder="1" applyAlignment="1">
      <alignment horizontal="left" vertical="center" indent="1"/>
    </xf>
    <xf numFmtId="3" fontId="34" fillId="0" borderId="12" xfId="0" applyNumberFormat="1" applyFont="1" applyFill="1" applyBorder="1" applyAlignment="1">
      <alignment horizontal="right" vertical="center"/>
    </xf>
    <xf numFmtId="3" fontId="41" fillId="0" borderId="39" xfId="0" applyNumberFormat="1" applyFont="1" applyFill="1" applyBorder="1" applyAlignment="1">
      <alignment horizontal="right" vertical="center"/>
    </xf>
    <xf numFmtId="3" fontId="20" fillId="0" borderId="47" xfId="0" applyNumberFormat="1" applyFont="1" applyFill="1" applyBorder="1" applyAlignment="1">
      <alignment horizontal="right" vertical="center"/>
    </xf>
    <xf numFmtId="3" fontId="21" fillId="0" borderId="25" xfId="0" applyNumberFormat="1" applyFont="1" applyFill="1" applyBorder="1" applyAlignment="1">
      <alignment vertical="center"/>
    </xf>
    <xf numFmtId="3" fontId="21" fillId="0" borderId="40" xfId="0" applyNumberFormat="1" applyFont="1" applyFill="1" applyBorder="1" applyAlignment="1">
      <alignment horizontal="right" vertical="center"/>
    </xf>
    <xf numFmtId="3" fontId="21" fillId="0" borderId="41" xfId="0" applyNumberFormat="1" applyFont="1" applyFill="1" applyBorder="1" applyAlignment="1">
      <alignment horizontal="right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7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44" xfId="0" applyNumberFormat="1" applyFont="1" applyFill="1" applyBorder="1" applyAlignment="1">
      <alignment horizontal="right" vertical="center"/>
    </xf>
    <xf numFmtId="3" fontId="21" fillId="0" borderId="46" xfId="0" applyNumberFormat="1" applyFont="1" applyFill="1" applyBorder="1" applyAlignment="1">
      <alignment horizontal="right" vertical="center"/>
    </xf>
    <xf numFmtId="3" fontId="20" fillId="0" borderId="62" xfId="0" applyNumberFormat="1" applyFont="1" applyFill="1" applyBorder="1" applyAlignment="1">
      <alignment horizontal="center" vertical="center"/>
    </xf>
    <xf numFmtId="3" fontId="20" fillId="0" borderId="75" xfId="0" applyNumberFormat="1" applyFont="1" applyFill="1" applyBorder="1" applyAlignment="1">
      <alignment horizontal="center" vertical="center"/>
    </xf>
    <xf numFmtId="3" fontId="40" fillId="0" borderId="47" xfId="0" applyNumberFormat="1" applyFont="1" applyFill="1" applyBorder="1" applyAlignment="1">
      <alignment horizontal="left" vertical="center"/>
    </xf>
    <xf numFmtId="3" fontId="21" fillId="0" borderId="76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vertical="center"/>
    </xf>
    <xf numFmtId="3" fontId="43" fillId="0" borderId="50" xfId="0" applyNumberFormat="1" applyFont="1" applyFill="1" applyBorder="1" applyAlignment="1">
      <alignment horizontal="left" vertical="center"/>
    </xf>
    <xf numFmtId="3" fontId="21" fillId="0" borderId="12" xfId="0" applyNumberFormat="1" applyFont="1" applyFill="1" applyBorder="1" applyAlignment="1">
      <alignment vertical="center"/>
    </xf>
    <xf numFmtId="3" fontId="20" fillId="0" borderId="68" xfId="0" applyNumberFormat="1" applyFont="1" applyFill="1" applyBorder="1" applyAlignment="1">
      <alignment vertical="center"/>
    </xf>
    <xf numFmtId="3" fontId="40" fillId="0" borderId="11" xfId="0" applyNumberFormat="1" applyFont="1" applyFill="1" applyBorder="1" applyAlignment="1">
      <alignment horizontal="right" vertical="center"/>
    </xf>
    <xf numFmtId="3" fontId="21" fillId="0" borderId="53" xfId="0" applyNumberFormat="1" applyFont="1" applyFill="1" applyBorder="1" applyAlignment="1">
      <alignment horizontal="right" vertical="center"/>
    </xf>
    <xf numFmtId="3" fontId="21" fillId="0" borderId="57" xfId="0" applyNumberFormat="1" applyFont="1" applyFill="1" applyBorder="1" applyAlignment="1">
      <alignment horizontal="right" vertical="center"/>
    </xf>
    <xf numFmtId="3" fontId="21" fillId="0" borderId="75" xfId="0" applyNumberFormat="1" applyFont="1" applyFill="1" applyBorder="1" applyAlignment="1">
      <alignment horizontal="center" vertical="center"/>
    </xf>
    <xf numFmtId="3" fontId="21" fillId="0" borderId="77" xfId="0" applyNumberFormat="1" applyFont="1" applyFill="1" applyBorder="1" applyAlignment="1">
      <alignment horizontal="right" vertical="center"/>
    </xf>
    <xf numFmtId="3" fontId="43" fillId="0" borderId="56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left" vertical="center"/>
    </xf>
    <xf numFmtId="3" fontId="40" fillId="0" borderId="11" xfId="0" applyNumberFormat="1" applyFont="1" applyFill="1" applyBorder="1" applyAlignment="1">
      <alignment horizontal="left" vertical="center"/>
    </xf>
    <xf numFmtId="49" fontId="20" fillId="0" borderId="68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right" vertical="center"/>
    </xf>
    <xf numFmtId="3" fontId="20" fillId="0" borderId="21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left" shrinkToFit="1"/>
    </xf>
    <xf numFmtId="49" fontId="20" fillId="0" borderId="12" xfId="0" applyNumberFormat="1" applyFont="1" applyFill="1" applyBorder="1" applyAlignment="1">
      <alignment horizontal="left" shrinkToFi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left" shrinkToFit="1"/>
    </xf>
    <xf numFmtId="49" fontId="21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wrapText="1"/>
    </xf>
    <xf numFmtId="3" fontId="21" fillId="0" borderId="63" xfId="0" applyNumberFormat="1" applyFont="1" applyFill="1" applyBorder="1" applyAlignment="1">
      <alignment horizontal="right" vertical="center"/>
    </xf>
    <xf numFmtId="3" fontId="21" fillId="0" borderId="48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1" fillId="0" borderId="61" xfId="0" applyNumberFormat="1" applyFont="1" applyFill="1" applyBorder="1" applyAlignment="1">
      <alignment horizontal="right" vertical="center"/>
    </xf>
    <xf numFmtId="3" fontId="21" fillId="0" borderId="58" xfId="0" applyNumberFormat="1" applyFont="1" applyFill="1" applyBorder="1" applyAlignment="1">
      <alignment horizontal="right" vertical="center"/>
    </xf>
    <xf numFmtId="3" fontId="21" fillId="0" borderId="40" xfId="0" applyNumberFormat="1" applyFont="1" applyFill="1" applyBorder="1" applyAlignment="1">
      <alignment vertical="center"/>
    </xf>
    <xf numFmtId="3" fontId="43" fillId="0" borderId="40" xfId="0" applyNumberFormat="1" applyFont="1" applyFill="1" applyBorder="1" applyAlignment="1">
      <alignment horizontal="right" vertical="center"/>
    </xf>
    <xf numFmtId="3" fontId="43" fillId="0" borderId="53" xfId="0" applyNumberFormat="1" applyFont="1" applyFill="1" applyBorder="1" applyAlignment="1">
      <alignment horizontal="right" vertical="center"/>
    </xf>
    <xf numFmtId="3" fontId="21" fillId="0" borderId="56" xfId="0" applyNumberFormat="1" applyFont="1" applyFill="1" applyBorder="1" applyAlignment="1">
      <alignment horizontal="left" vertical="center"/>
    </xf>
    <xf numFmtId="3" fontId="21" fillId="0" borderId="40" xfId="0" applyNumberFormat="1" applyFont="1" applyFill="1" applyBorder="1" applyAlignment="1">
      <alignment vertical="center" wrapText="1"/>
    </xf>
    <xf numFmtId="3" fontId="21" fillId="0" borderId="47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horizontal="right" vertical="center"/>
    </xf>
    <xf numFmtId="3" fontId="20" fillId="0" borderId="21" xfId="0" applyNumberFormat="1" applyFont="1" applyFill="1" applyBorder="1" applyAlignment="1">
      <alignment horizontal="left" vertical="center"/>
    </xf>
    <xf numFmtId="3" fontId="21" fillId="0" borderId="38" xfId="0" applyNumberFormat="1" applyFont="1" applyFill="1" applyBorder="1" applyAlignment="1">
      <alignment horizontal="right" vertical="center"/>
    </xf>
    <xf numFmtId="3" fontId="20" fillId="0" borderId="68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horizontal="right" vertical="center"/>
    </xf>
    <xf numFmtId="3" fontId="43" fillId="0" borderId="50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left" vertical="center" indent="1"/>
    </xf>
    <xf numFmtId="3" fontId="20" fillId="0" borderId="68" xfId="0" applyNumberFormat="1" applyFont="1" applyFill="1" applyBorder="1" applyAlignment="1">
      <alignment horizontal="left" vertical="center" indent="1"/>
    </xf>
    <xf numFmtId="3" fontId="21" fillId="0" borderId="0" xfId="0" applyNumberFormat="1" applyFont="1" applyFill="1" applyBorder="1" applyAlignment="1">
      <alignment vertical="center"/>
    </xf>
    <xf numFmtId="3" fontId="21" fillId="0" borderId="78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right" vertical="center"/>
    </xf>
    <xf numFmtId="3" fontId="21" fillId="0" borderId="52" xfId="0" applyNumberFormat="1" applyFont="1" applyFill="1" applyBorder="1" applyAlignment="1">
      <alignment horizontal="right" vertical="center"/>
    </xf>
    <xf numFmtId="3" fontId="21" fillId="0" borderId="24" xfId="0" applyNumberFormat="1" applyFont="1" applyFill="1" applyBorder="1" applyAlignment="1">
      <alignment horizontal="right" vertical="center"/>
    </xf>
    <xf numFmtId="3" fontId="21" fillId="0" borderId="66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41" fillId="0" borderId="23" xfId="0" applyNumberFormat="1" applyFont="1" applyFill="1" applyBorder="1" applyAlignment="1">
      <alignment horizontal="center" vertical="center"/>
    </xf>
    <xf numFmtId="3" fontId="41" fillId="0" borderId="24" xfId="0" applyNumberFormat="1" applyFont="1" applyFill="1" applyBorder="1" applyAlignment="1">
      <alignment horizontal="center" vertical="center"/>
    </xf>
    <xf numFmtId="3" fontId="21" fillId="0" borderId="78" xfId="0" applyNumberFormat="1" applyFont="1" applyFill="1" applyBorder="1" applyAlignment="1">
      <alignment vertical="center"/>
    </xf>
    <xf numFmtId="3" fontId="21" fillId="0" borderId="54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3" fontId="21" fillId="0" borderId="79" xfId="0" applyNumberFormat="1" applyFont="1" applyFill="1" applyBorder="1" applyAlignment="1">
      <alignment horizontal="center" vertical="center"/>
    </xf>
    <xf numFmtId="3" fontId="21" fillId="0" borderId="80" xfId="0" applyNumberFormat="1" applyFont="1" applyFill="1" applyBorder="1" applyAlignment="1">
      <alignment horizontal="right" vertical="center"/>
    </xf>
    <xf numFmtId="3" fontId="21" fillId="0" borderId="73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left" vertical="center"/>
    </xf>
    <xf numFmtId="3" fontId="43" fillId="34" borderId="13" xfId="0" applyNumberFormat="1" applyFont="1" applyFill="1" applyBorder="1" applyAlignment="1">
      <alignment horizontal="left" vertical="center"/>
    </xf>
    <xf numFmtId="3" fontId="43" fillId="34" borderId="11" xfId="0" applyNumberFormat="1" applyFont="1" applyFill="1" applyBorder="1" applyAlignment="1">
      <alignment horizontal="left" vertical="center"/>
    </xf>
    <xf numFmtId="3" fontId="40" fillId="34" borderId="11" xfId="0" applyNumberFormat="1" applyFont="1" applyFill="1" applyBorder="1" applyAlignment="1">
      <alignment horizontal="left" vertical="center"/>
    </xf>
    <xf numFmtId="3" fontId="20" fillId="34" borderId="12" xfId="0" applyNumberFormat="1" applyFont="1" applyFill="1" applyBorder="1" applyAlignment="1">
      <alignment horizontal="right" vertical="center"/>
    </xf>
    <xf numFmtId="3" fontId="34" fillId="34" borderId="12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right" vertical="center"/>
    </xf>
    <xf numFmtId="3" fontId="34" fillId="34" borderId="11" xfId="0" applyNumberFormat="1" applyFont="1" applyFill="1" applyBorder="1" applyAlignment="1">
      <alignment horizontal="right" vertical="center"/>
    </xf>
    <xf numFmtId="3" fontId="21" fillId="34" borderId="40" xfId="0" applyNumberFormat="1" applyFont="1" applyFill="1" applyBorder="1" applyAlignment="1">
      <alignment horizontal="right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3" fontId="21" fillId="34" borderId="14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1" fillId="34" borderId="12" xfId="0" applyNumberFormat="1" applyFont="1" applyFill="1" applyBorder="1" applyAlignment="1">
      <alignment horizontal="right" vertical="center"/>
    </xf>
    <xf numFmtId="0" fontId="21" fillId="0" borderId="6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3" fontId="21" fillId="34" borderId="47" xfId="0" applyNumberFormat="1" applyFont="1" applyFill="1" applyBorder="1" applyAlignment="1">
      <alignment horizontal="right" vertical="center"/>
    </xf>
    <xf numFmtId="3" fontId="20" fillId="34" borderId="11" xfId="0" applyNumberFormat="1" applyFont="1" applyFill="1" applyBorder="1" applyAlignment="1">
      <alignment horizontal="right" vertical="center"/>
    </xf>
    <xf numFmtId="3" fontId="21" fillId="34" borderId="11" xfId="0" applyNumberFormat="1" applyFont="1" applyFill="1" applyBorder="1" applyAlignment="1">
      <alignment horizontal="right" vertical="center"/>
    </xf>
    <xf numFmtId="3" fontId="20" fillId="34" borderId="21" xfId="0" applyNumberFormat="1" applyFont="1" applyFill="1" applyBorder="1" applyAlignment="1">
      <alignment horizontal="right" vertical="center"/>
    </xf>
    <xf numFmtId="3" fontId="34" fillId="0" borderId="21" xfId="0" applyNumberFormat="1" applyFont="1" applyFill="1" applyBorder="1" applyAlignment="1">
      <alignment vertical="center"/>
    </xf>
    <xf numFmtId="3" fontId="34" fillId="34" borderId="21" xfId="0" applyNumberFormat="1" applyFont="1" applyFill="1" applyBorder="1" applyAlignment="1">
      <alignment horizontal="right" vertical="center"/>
    </xf>
    <xf numFmtId="3" fontId="34" fillId="0" borderId="21" xfId="0" applyNumberFormat="1" applyFont="1" applyFill="1" applyBorder="1" applyAlignment="1">
      <alignment horizontal="right" vertical="center"/>
    </xf>
    <xf numFmtId="3" fontId="41" fillId="0" borderId="38" xfId="0" applyNumberFormat="1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3" fontId="20" fillId="34" borderId="47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shrinkToFit="1"/>
    </xf>
    <xf numFmtId="3" fontId="20" fillId="34" borderId="12" xfId="0" applyNumberFormat="1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center" vertical="center" shrinkToFit="1"/>
    </xf>
    <xf numFmtId="3" fontId="34" fillId="0" borderId="12" xfId="0" applyNumberFormat="1" applyFont="1" applyFill="1" applyBorder="1" applyAlignment="1">
      <alignment vertical="center"/>
    </xf>
    <xf numFmtId="3" fontId="34" fillId="34" borderId="12" xfId="0" applyNumberFormat="1" applyFont="1" applyFill="1" applyBorder="1" applyAlignment="1">
      <alignment horizontal="right" vertical="center" shrinkToFit="1"/>
    </xf>
    <xf numFmtId="3" fontId="20" fillId="34" borderId="47" xfId="0" applyNumberFormat="1" applyFont="1" applyFill="1" applyBorder="1" applyAlignment="1">
      <alignment horizontal="right" vertical="center" shrinkToFit="1"/>
    </xf>
    <xf numFmtId="3" fontId="20" fillId="0" borderId="47" xfId="0" applyNumberFormat="1" applyFont="1" applyFill="1" applyBorder="1" applyAlignment="1">
      <alignment horizontal="right" vertical="center" shrinkToFit="1"/>
    </xf>
    <xf numFmtId="3" fontId="20" fillId="0" borderId="14" xfId="69" applyNumberFormat="1" applyFont="1" applyFill="1" applyBorder="1" applyAlignment="1" quotePrefix="1">
      <alignment horizontal="center" vertical="center"/>
      <protection/>
    </xf>
    <xf numFmtId="3" fontId="20" fillId="0" borderId="47" xfId="69" applyNumberFormat="1" applyFont="1" applyFill="1" applyBorder="1" applyAlignment="1" quotePrefix="1">
      <alignment horizontal="center" vertical="center"/>
      <protection/>
    </xf>
    <xf numFmtId="3" fontId="40" fillId="0" borderId="12" xfId="0" applyNumberFormat="1" applyFont="1" applyFill="1" applyBorder="1" applyAlignment="1">
      <alignment horizontal="right" vertical="center"/>
    </xf>
    <xf numFmtId="3" fontId="21" fillId="0" borderId="55" xfId="0" applyNumberFormat="1" applyFont="1" applyFill="1" applyBorder="1" applyAlignment="1">
      <alignment vertical="center"/>
    </xf>
    <xf numFmtId="3" fontId="34" fillId="0" borderId="21" xfId="69" applyNumberFormat="1" applyFont="1" applyFill="1" applyBorder="1" applyAlignment="1" quotePrefix="1">
      <alignment horizontal="center" vertical="center"/>
      <protection/>
    </xf>
    <xf numFmtId="3" fontId="21" fillId="0" borderId="47" xfId="0" applyNumberFormat="1" applyFont="1" applyFill="1" applyBorder="1" applyAlignment="1">
      <alignment vertical="center"/>
    </xf>
    <xf numFmtId="3" fontId="21" fillId="0" borderId="64" xfId="0" applyNumberFormat="1" applyFont="1" applyFill="1" applyBorder="1" applyAlignment="1">
      <alignment horizontal="right" vertical="center"/>
    </xf>
    <xf numFmtId="3" fontId="21" fillId="0" borderId="81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/>
    </xf>
    <xf numFmtId="3" fontId="21" fillId="0" borderId="82" xfId="0" applyNumberFormat="1" applyFont="1" applyFill="1" applyBorder="1" applyAlignment="1">
      <alignment horizontal="right" vertical="center"/>
    </xf>
    <xf numFmtId="3" fontId="20" fillId="0" borderId="33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left" vertical="center"/>
    </xf>
    <xf numFmtId="3" fontId="43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8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 wrapText="1"/>
    </xf>
    <xf numFmtId="3" fontId="21" fillId="0" borderId="50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 wrapText="1"/>
    </xf>
    <xf numFmtId="3" fontId="21" fillId="0" borderId="46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3" fontId="20" fillId="0" borderId="85" xfId="0" applyNumberFormat="1" applyFont="1" applyBorder="1" applyAlignment="1">
      <alignment vertical="center" wrapText="1"/>
    </xf>
    <xf numFmtId="3" fontId="20" fillId="0" borderId="86" xfId="69" applyNumberFormat="1" applyFont="1" applyFill="1" applyBorder="1" applyAlignment="1" quotePrefix="1">
      <alignment horizontal="center" vertical="center"/>
      <protection/>
    </xf>
    <xf numFmtId="3" fontId="20" fillId="0" borderId="68" xfId="0" applyNumberFormat="1" applyFont="1" applyBorder="1" applyAlignment="1">
      <alignment vertical="center" wrapText="1"/>
    </xf>
    <xf numFmtId="0" fontId="20" fillId="0" borderId="87" xfId="0" applyFont="1" applyBorder="1" applyAlignment="1">
      <alignment vertical="center" wrapText="1"/>
    </xf>
    <xf numFmtId="0" fontId="20" fillId="0" borderId="88" xfId="0" applyFont="1" applyBorder="1" applyAlignment="1">
      <alignment horizontal="center" vertical="center" wrapText="1"/>
    </xf>
    <xf numFmtId="3" fontId="21" fillId="0" borderId="88" xfId="0" applyNumberFormat="1" applyFont="1" applyBorder="1" applyAlignment="1">
      <alignment vertical="center" wrapText="1"/>
    </xf>
    <xf numFmtId="3" fontId="21" fillId="0" borderId="81" xfId="0" applyNumberFormat="1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3" fontId="20" fillId="0" borderId="16" xfId="69" applyNumberFormat="1" applyFont="1" applyFill="1" applyBorder="1" applyAlignment="1" quotePrefix="1">
      <alignment horizontal="center" vertical="center"/>
      <protection/>
    </xf>
    <xf numFmtId="3" fontId="21" fillId="0" borderId="68" xfId="0" applyNumberFormat="1" applyFont="1" applyBorder="1" applyAlignment="1">
      <alignment vertical="center" wrapText="1"/>
    </xf>
    <xf numFmtId="0" fontId="20" fillId="0" borderId="89" xfId="0" applyFont="1" applyBorder="1" applyAlignment="1">
      <alignment vertical="center" wrapText="1"/>
    </xf>
    <xf numFmtId="3" fontId="21" fillId="0" borderId="16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3" fontId="21" fillId="0" borderId="9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right" vertical="center"/>
    </xf>
    <xf numFmtId="3" fontId="21" fillId="0" borderId="0" xfId="69" applyNumberFormat="1" applyFont="1" applyFill="1" applyAlignment="1">
      <alignment horizontal="center" vertical="center"/>
      <protection/>
    </xf>
    <xf numFmtId="3" fontId="20" fillId="0" borderId="0" xfId="69" applyNumberFormat="1" applyFont="1" applyFill="1" applyAlignment="1">
      <alignment vertical="center"/>
      <protection/>
    </xf>
    <xf numFmtId="1" fontId="40" fillId="0" borderId="0" xfId="69" applyNumberFormat="1" applyFont="1" applyFill="1" applyAlignment="1">
      <alignment horizontal="right" vertical="center"/>
      <protection/>
    </xf>
    <xf numFmtId="3" fontId="40" fillId="0" borderId="0" xfId="69" applyNumberFormat="1" applyFont="1" applyFill="1" applyAlignment="1">
      <alignment vertical="center"/>
      <protection/>
    </xf>
    <xf numFmtId="1" fontId="40" fillId="0" borderId="0" xfId="69" applyNumberFormat="1" applyFont="1" applyFill="1" applyAlignment="1">
      <alignment vertical="center"/>
      <protection/>
    </xf>
    <xf numFmtId="3" fontId="43" fillId="0" borderId="0" xfId="69" applyNumberFormat="1" applyFont="1" applyFill="1" applyBorder="1" applyAlignment="1">
      <alignment vertical="center"/>
      <protection/>
    </xf>
    <xf numFmtId="3" fontId="40" fillId="0" borderId="0" xfId="69" applyNumberFormat="1" applyFont="1" applyFill="1" applyBorder="1" applyAlignment="1">
      <alignment vertical="center"/>
      <protection/>
    </xf>
    <xf numFmtId="165" fontId="21" fillId="0" borderId="0" xfId="69" applyNumberFormat="1" applyFont="1" applyFill="1" applyBorder="1" applyAlignment="1">
      <alignment horizontal="right" vertical="center"/>
      <protection/>
    </xf>
    <xf numFmtId="165" fontId="21" fillId="0" borderId="27" xfId="69" applyNumberFormat="1" applyFont="1" applyFill="1" applyBorder="1" applyAlignment="1">
      <alignment horizontal="right" vertical="center"/>
      <protection/>
    </xf>
    <xf numFmtId="3" fontId="21" fillId="0" borderId="13" xfId="69" applyNumberFormat="1" applyFont="1" applyFill="1" applyBorder="1" applyAlignment="1">
      <alignment horizontal="center" vertical="center"/>
      <protection/>
    </xf>
    <xf numFmtId="3" fontId="21" fillId="0" borderId="13" xfId="69" applyNumberFormat="1" applyFont="1" applyFill="1" applyBorder="1" applyAlignment="1">
      <alignment horizontal="center" vertical="center" wrapText="1"/>
      <protection/>
    </xf>
    <xf numFmtId="3" fontId="21" fillId="0" borderId="32" xfId="69" applyNumberFormat="1" applyFont="1" applyFill="1" applyBorder="1" applyAlignment="1">
      <alignment horizontal="center" vertical="center"/>
      <protection/>
    </xf>
    <xf numFmtId="3" fontId="21" fillId="0" borderId="11" xfId="69" applyNumberFormat="1" applyFont="1" applyFill="1" applyBorder="1" applyAlignment="1">
      <alignment horizontal="center" vertical="center"/>
      <protection/>
    </xf>
    <xf numFmtId="3" fontId="21" fillId="0" borderId="11" xfId="69" applyNumberFormat="1" applyFont="1" applyFill="1" applyBorder="1" applyAlignment="1">
      <alignment horizontal="center" vertical="center" wrapText="1"/>
      <protection/>
    </xf>
    <xf numFmtId="3" fontId="21" fillId="0" borderId="20" xfId="69" applyNumberFormat="1" applyFont="1" applyFill="1" applyBorder="1" applyAlignment="1">
      <alignment horizontal="center" vertical="center"/>
      <protection/>
    </xf>
    <xf numFmtId="165" fontId="21" fillId="0" borderId="91" xfId="69" applyNumberFormat="1" applyFont="1" applyFill="1" applyBorder="1" applyAlignment="1">
      <alignment horizontal="right" vertical="center"/>
      <protection/>
    </xf>
    <xf numFmtId="3" fontId="21" fillId="0" borderId="92" xfId="69" applyNumberFormat="1" applyFont="1" applyFill="1" applyBorder="1" applyAlignment="1">
      <alignment horizontal="center" vertical="center"/>
      <protection/>
    </xf>
    <xf numFmtId="3" fontId="20" fillId="0" borderId="86" xfId="69" applyNumberFormat="1" applyFont="1" applyFill="1" applyBorder="1" applyAlignment="1">
      <alignment vertical="center"/>
      <protection/>
    </xf>
    <xf numFmtId="1" fontId="20" fillId="0" borderId="86" xfId="69" applyNumberFormat="1" applyFont="1" applyFill="1" applyBorder="1" applyAlignment="1">
      <alignment horizontal="right" vertical="center"/>
      <protection/>
    </xf>
    <xf numFmtId="3" fontId="20" fillId="0" borderId="86" xfId="69" applyNumberFormat="1" applyFont="1" applyFill="1" applyBorder="1" applyAlignment="1">
      <alignment horizontal="left" vertical="center" indent="1"/>
      <protection/>
    </xf>
    <xf numFmtId="1" fontId="20" fillId="0" borderId="86" xfId="69" applyNumberFormat="1" applyFont="1" applyFill="1" applyBorder="1" applyAlignment="1">
      <alignment vertical="center"/>
      <protection/>
    </xf>
    <xf numFmtId="3" fontId="20" fillId="0" borderId="16" xfId="69" applyNumberFormat="1" applyFont="1" applyFill="1" applyBorder="1" applyAlignment="1">
      <alignment horizontal="right" vertical="center"/>
      <protection/>
    </xf>
    <xf numFmtId="3" fontId="20" fillId="0" borderId="86" xfId="69" applyNumberFormat="1" applyFont="1" applyFill="1" applyBorder="1" applyAlignment="1">
      <alignment horizontal="right" vertical="center"/>
      <protection/>
    </xf>
    <xf numFmtId="3" fontId="20" fillId="0" borderId="86" xfId="69" applyNumberFormat="1" applyFont="1" applyFill="1" applyBorder="1" applyAlignment="1">
      <alignment horizontal="center" vertical="center"/>
      <protection/>
    </xf>
    <xf numFmtId="3" fontId="20" fillId="0" borderId="86" xfId="69" applyNumberFormat="1" applyFont="1" applyFill="1" applyBorder="1" applyAlignment="1">
      <alignment horizontal="left" vertical="center" indent="2"/>
      <protection/>
    </xf>
    <xf numFmtId="3" fontId="21" fillId="0" borderId="86" xfId="69" applyNumberFormat="1" applyFont="1" applyFill="1" applyBorder="1" applyAlignment="1">
      <alignment vertical="center"/>
      <protection/>
    </xf>
    <xf numFmtId="165" fontId="21" fillId="0" borderId="93" xfId="69" applyNumberFormat="1" applyFont="1" applyFill="1" applyBorder="1" applyAlignment="1">
      <alignment horizontal="right" vertical="center"/>
      <protection/>
    </xf>
    <xf numFmtId="165" fontId="21" fillId="0" borderId="94" xfId="69" applyNumberFormat="1" applyFont="1" applyFill="1" applyBorder="1" applyAlignment="1">
      <alignment horizontal="right" vertical="center"/>
      <protection/>
    </xf>
    <xf numFmtId="3" fontId="20" fillId="0" borderId="11" xfId="69" applyNumberFormat="1" applyFont="1" applyFill="1" applyBorder="1" applyAlignment="1">
      <alignment horizontal="center" vertical="center"/>
      <protection/>
    </xf>
    <xf numFmtId="1" fontId="20" fillId="0" borderId="11" xfId="69" applyNumberFormat="1" applyFont="1" applyFill="1" applyBorder="1" applyAlignment="1">
      <alignment horizontal="right" vertical="center"/>
      <protection/>
    </xf>
    <xf numFmtId="3" fontId="20" fillId="0" borderId="11" xfId="69" applyNumberFormat="1" applyFont="1" applyFill="1" applyBorder="1" applyAlignment="1">
      <alignment horizontal="right" vertical="center"/>
      <protection/>
    </xf>
    <xf numFmtId="3" fontId="20" fillId="0" borderId="11" xfId="69" applyNumberFormat="1" applyFont="1" applyFill="1" applyBorder="1" applyAlignment="1">
      <alignment vertical="center"/>
      <protection/>
    </xf>
    <xf numFmtId="165" fontId="21" fillId="0" borderId="50" xfId="69" applyNumberFormat="1" applyFont="1" applyFill="1" applyBorder="1" applyAlignment="1">
      <alignment horizontal="right" vertical="center"/>
      <protection/>
    </xf>
    <xf numFmtId="3" fontId="21" fillId="0" borderId="89" xfId="69" applyNumberFormat="1" applyFont="1" applyFill="1" applyBorder="1" applyAlignment="1">
      <alignment horizontal="center" vertical="center"/>
      <protection/>
    </xf>
    <xf numFmtId="3" fontId="20" fillId="0" borderId="16" xfId="69" applyNumberFormat="1" applyFont="1" applyFill="1" applyBorder="1" applyAlignment="1">
      <alignment horizontal="center" vertical="center"/>
      <protection/>
    </xf>
    <xf numFmtId="1" fontId="20" fillId="0" borderId="16" xfId="69" applyNumberFormat="1" applyFont="1" applyFill="1" applyBorder="1" applyAlignment="1">
      <alignment horizontal="right" vertical="center"/>
      <protection/>
    </xf>
    <xf numFmtId="3" fontId="20" fillId="0" borderId="16" xfId="69" applyNumberFormat="1" applyFont="1" applyFill="1" applyBorder="1" applyAlignment="1">
      <alignment vertical="center"/>
      <protection/>
    </xf>
    <xf numFmtId="3" fontId="20" fillId="0" borderId="16" xfId="69" applyNumberFormat="1" applyFont="1" applyFill="1" applyBorder="1" applyAlignment="1">
      <alignment horizontal="left" vertical="center" indent="2"/>
      <protection/>
    </xf>
    <xf numFmtId="3" fontId="20" fillId="0" borderId="14" xfId="69" applyNumberFormat="1" applyFont="1" applyFill="1" applyBorder="1" applyAlignment="1">
      <alignment horizontal="center" vertical="center"/>
      <protection/>
    </xf>
    <xf numFmtId="1" fontId="20" fillId="0" borderId="0" xfId="69" applyNumberFormat="1" applyFont="1" applyFill="1" applyBorder="1" applyAlignment="1">
      <alignment horizontal="right" vertical="center"/>
      <protection/>
    </xf>
    <xf numFmtId="3" fontId="20" fillId="0" borderId="11" xfId="69" applyNumberFormat="1" applyFont="1" applyFill="1" applyBorder="1" applyAlignment="1" quotePrefix="1">
      <alignment horizontal="center" vertical="center"/>
      <protection/>
    </xf>
    <xf numFmtId="3" fontId="20" fillId="0" borderId="14" xfId="69" applyNumberFormat="1" applyFont="1" applyFill="1" applyBorder="1" applyAlignment="1">
      <alignment horizontal="right" vertical="center"/>
      <protection/>
    </xf>
    <xf numFmtId="3" fontId="21" fillId="0" borderId="11" xfId="69" applyNumberFormat="1" applyFont="1" applyFill="1" applyBorder="1" applyAlignment="1">
      <alignment vertical="center"/>
      <protection/>
    </xf>
    <xf numFmtId="165" fontId="41" fillId="0" borderId="50" xfId="69" applyNumberFormat="1" applyFont="1" applyFill="1" applyBorder="1" applyAlignment="1">
      <alignment horizontal="right" vertical="center"/>
      <protection/>
    </xf>
    <xf numFmtId="3" fontId="21" fillId="0" borderId="64" xfId="69" applyNumberFormat="1" applyFont="1" applyFill="1" applyBorder="1" applyAlignment="1">
      <alignment horizontal="right" vertical="center"/>
      <protection/>
    </xf>
    <xf numFmtId="1" fontId="21" fillId="0" borderId="64" xfId="69" applyNumberFormat="1" applyFont="1" applyFill="1" applyBorder="1" applyAlignment="1">
      <alignment horizontal="right" vertical="center"/>
      <protection/>
    </xf>
    <xf numFmtId="3" fontId="21" fillId="0" borderId="48" xfId="69" applyNumberFormat="1" applyFont="1" applyFill="1" applyBorder="1" applyAlignment="1">
      <alignment horizontal="right" vertical="center"/>
      <protection/>
    </xf>
    <xf numFmtId="165" fontId="21" fillId="0" borderId="81" xfId="69" applyNumberFormat="1" applyFont="1" applyFill="1" applyBorder="1" applyAlignment="1">
      <alignment horizontal="right" vertical="center"/>
      <protection/>
    </xf>
    <xf numFmtId="3" fontId="21" fillId="0" borderId="29" xfId="69" applyNumberFormat="1" applyFont="1" applyFill="1" applyBorder="1" applyAlignment="1">
      <alignment horizontal="center" vertical="center"/>
      <protection/>
    </xf>
    <xf numFmtId="3" fontId="21" fillId="0" borderId="28" xfId="69" applyNumberFormat="1" applyFont="1" applyFill="1" applyBorder="1" applyAlignment="1">
      <alignment horizontal="center" vertical="center"/>
      <protection/>
    </xf>
    <xf numFmtId="3" fontId="21" fillId="0" borderId="13" xfId="69" applyNumberFormat="1" applyFont="1" applyFill="1" applyBorder="1" applyAlignment="1">
      <alignment horizontal="right" vertical="center"/>
      <protection/>
    </xf>
    <xf numFmtId="165" fontId="21" fillId="0" borderId="95" xfId="69" applyNumberFormat="1" applyFont="1" applyFill="1" applyBorder="1" applyAlignment="1">
      <alignment horizontal="right" vertical="center"/>
      <protection/>
    </xf>
    <xf numFmtId="3" fontId="21" fillId="0" borderId="96" xfId="69" applyNumberFormat="1" applyFont="1" applyFill="1" applyBorder="1" applyAlignment="1">
      <alignment horizontal="center" vertical="center"/>
      <protection/>
    </xf>
    <xf numFmtId="3" fontId="21" fillId="0" borderId="16" xfId="69" applyNumberFormat="1" applyFont="1" applyFill="1" applyBorder="1" applyAlignment="1">
      <alignment horizontal="center" vertical="center"/>
      <protection/>
    </xf>
    <xf numFmtId="3" fontId="21" fillId="0" borderId="97" xfId="69" applyNumberFormat="1" applyFont="1" applyFill="1" applyBorder="1" applyAlignment="1">
      <alignment horizontal="center" vertical="center"/>
      <protection/>
    </xf>
    <xf numFmtId="3" fontId="21" fillId="0" borderId="16" xfId="69" applyNumberFormat="1" applyFont="1" applyFill="1" applyBorder="1" applyAlignment="1">
      <alignment horizontal="right" vertical="center"/>
      <protection/>
    </xf>
    <xf numFmtId="3" fontId="21" fillId="0" borderId="0" xfId="69" applyNumberFormat="1" applyFont="1" applyFill="1" applyBorder="1" applyAlignment="1">
      <alignment horizontal="center" vertical="center"/>
      <protection/>
    </xf>
    <xf numFmtId="3" fontId="21" fillId="0" borderId="11" xfId="69" applyNumberFormat="1" applyFont="1" applyFill="1" applyBorder="1" applyAlignment="1">
      <alignment horizontal="right" vertical="center"/>
      <protection/>
    </xf>
    <xf numFmtId="3" fontId="20" fillId="0" borderId="15" xfId="69" applyNumberFormat="1" applyFont="1" applyFill="1" applyBorder="1" applyAlignment="1">
      <alignment horizontal="right" vertical="center"/>
      <protection/>
    </xf>
    <xf numFmtId="1" fontId="20" fillId="0" borderId="15" xfId="69" applyNumberFormat="1" applyFont="1" applyFill="1" applyBorder="1" applyAlignment="1">
      <alignment horizontal="right" vertical="center"/>
      <protection/>
    </xf>
    <xf numFmtId="3" fontId="21" fillId="0" borderId="15" xfId="69" applyNumberFormat="1" applyFont="1" applyFill="1" applyBorder="1" applyAlignment="1">
      <alignment horizontal="right" vertical="center"/>
      <protection/>
    </xf>
    <xf numFmtId="3" fontId="20" fillId="0" borderId="89" xfId="69" applyNumberFormat="1" applyFont="1" applyFill="1" applyBorder="1" applyAlignment="1">
      <alignment horizontal="center" vertical="center"/>
      <protection/>
    </xf>
    <xf numFmtId="3" fontId="20" fillId="0" borderId="98" xfId="69" applyNumberFormat="1" applyFont="1" applyFill="1" applyBorder="1" applyAlignment="1">
      <alignment horizontal="center" vertical="center"/>
      <protection/>
    </xf>
    <xf numFmtId="3" fontId="20" fillId="0" borderId="17" xfId="69" applyNumberFormat="1" applyFont="1" applyFill="1" applyBorder="1" applyAlignment="1">
      <alignment horizontal="center" vertical="center"/>
      <protection/>
    </xf>
    <xf numFmtId="3" fontId="20" fillId="0" borderId="96" xfId="69" applyNumberFormat="1" applyFont="1" applyFill="1" applyBorder="1" applyAlignment="1">
      <alignment horizontal="center" vertical="center"/>
      <protection/>
    </xf>
    <xf numFmtId="3" fontId="20" fillId="0" borderId="97" xfId="69" applyNumberFormat="1" applyFont="1" applyFill="1" applyBorder="1" applyAlignment="1">
      <alignment horizontal="center" vertical="center"/>
      <protection/>
    </xf>
    <xf numFmtId="3" fontId="20" fillId="0" borderId="62" xfId="69" applyNumberFormat="1" applyFont="1" applyFill="1" applyBorder="1" applyAlignment="1">
      <alignment horizontal="center" vertical="center"/>
      <protection/>
    </xf>
    <xf numFmtId="3" fontId="20" fillId="0" borderId="99" xfId="69" applyNumberFormat="1" applyFont="1" applyFill="1" applyBorder="1" applyAlignment="1">
      <alignment horizontal="center" vertical="center"/>
      <protection/>
    </xf>
    <xf numFmtId="3" fontId="20" fillId="0" borderId="73" xfId="69" applyNumberFormat="1" applyFont="1" applyFill="1" applyBorder="1" applyAlignment="1">
      <alignment horizontal="center" vertical="center"/>
      <protection/>
    </xf>
    <xf numFmtId="3" fontId="20" fillId="0" borderId="99" xfId="69" applyNumberFormat="1" applyFont="1" applyFill="1" applyBorder="1" applyAlignment="1">
      <alignment horizontal="right" vertical="center"/>
      <protection/>
    </xf>
    <xf numFmtId="3" fontId="21" fillId="0" borderId="45" xfId="69" applyNumberFormat="1" applyFont="1" applyFill="1" applyBorder="1" applyAlignment="1">
      <alignment horizontal="center" vertical="center"/>
      <protection/>
    </xf>
    <xf numFmtId="3" fontId="20" fillId="0" borderId="11" xfId="69" applyNumberFormat="1" applyFont="1" applyFill="1" applyBorder="1" applyAlignment="1">
      <alignment horizontal="left" vertical="center"/>
      <protection/>
    </xf>
    <xf numFmtId="1" fontId="40" fillId="0" borderId="11" xfId="69" applyNumberFormat="1" applyFont="1" applyFill="1" applyBorder="1" applyAlignment="1">
      <alignment horizontal="right" vertical="center"/>
      <protection/>
    </xf>
    <xf numFmtId="3" fontId="21" fillId="0" borderId="11" xfId="69" applyNumberFormat="1" applyFont="1" applyFill="1" applyBorder="1" applyAlignment="1">
      <alignment horizontal="left" vertical="center"/>
      <protection/>
    </xf>
    <xf numFmtId="3" fontId="21" fillId="0" borderId="40" xfId="69" applyNumberFormat="1" applyFont="1" applyFill="1" applyBorder="1" applyAlignment="1">
      <alignment horizontal="right" vertical="center"/>
      <protection/>
    </xf>
    <xf numFmtId="165" fontId="21" fillId="0" borderId="41" xfId="69" applyNumberFormat="1" applyFont="1" applyFill="1" applyBorder="1" applyAlignment="1">
      <alignment horizontal="right" vertical="center"/>
      <protection/>
    </xf>
    <xf numFmtId="3" fontId="20" fillId="0" borderId="16" xfId="69" applyNumberFormat="1" applyFont="1" applyFill="1" applyBorder="1" applyAlignment="1">
      <alignment horizontal="left" vertical="center"/>
      <protection/>
    </xf>
    <xf numFmtId="1" fontId="40" fillId="0" borderId="16" xfId="69" applyNumberFormat="1" applyFont="1" applyFill="1" applyBorder="1" applyAlignment="1">
      <alignment horizontal="right" vertical="center"/>
      <protection/>
    </xf>
    <xf numFmtId="3" fontId="20" fillId="0" borderId="89" xfId="69" applyNumberFormat="1" applyFont="1" applyFill="1" applyBorder="1" applyAlignment="1">
      <alignment horizontal="left" vertical="center"/>
      <protection/>
    </xf>
    <xf numFmtId="3" fontId="20" fillId="0" borderId="16" xfId="69" applyNumberFormat="1" applyFont="1" applyFill="1" applyBorder="1" applyAlignment="1">
      <alignment horizontal="left" vertical="center" indent="1"/>
      <protection/>
    </xf>
    <xf numFmtId="3" fontId="40" fillId="0" borderId="16" xfId="69" applyNumberFormat="1" applyFont="1" applyFill="1" applyBorder="1" applyAlignment="1">
      <alignment horizontal="right" vertical="center"/>
      <protection/>
    </xf>
    <xf numFmtId="165" fontId="43" fillId="0" borderId="94" xfId="69" applyNumberFormat="1" applyFont="1" applyFill="1" applyBorder="1" applyAlignment="1">
      <alignment horizontal="right" vertical="center"/>
      <protection/>
    </xf>
    <xf numFmtId="3" fontId="20" fillId="0" borderId="45" xfId="69" applyNumberFormat="1" applyFont="1" applyFill="1" applyBorder="1" applyAlignment="1">
      <alignment horizontal="left" vertical="center"/>
      <protection/>
    </xf>
    <xf numFmtId="3" fontId="40" fillId="0" borderId="11" xfId="69" applyNumberFormat="1" applyFont="1" applyFill="1" applyBorder="1" applyAlignment="1">
      <alignment horizontal="right" vertical="center"/>
      <protection/>
    </xf>
    <xf numFmtId="3" fontId="21" fillId="0" borderId="83" xfId="69" applyNumberFormat="1" applyFont="1" applyFill="1" applyBorder="1" applyAlignment="1">
      <alignment horizontal="center" vertical="center"/>
      <protection/>
    </xf>
    <xf numFmtId="3" fontId="20" fillId="0" borderId="13" xfId="69" applyNumberFormat="1" applyFont="1" applyFill="1" applyBorder="1" applyAlignment="1">
      <alignment horizontal="center" vertical="center"/>
      <protection/>
    </xf>
    <xf numFmtId="1" fontId="20" fillId="0" borderId="13" xfId="69" applyNumberFormat="1" applyFont="1" applyFill="1" applyBorder="1" applyAlignment="1">
      <alignment horizontal="right" vertical="center"/>
      <protection/>
    </xf>
    <xf numFmtId="3" fontId="21" fillId="0" borderId="13" xfId="69" applyNumberFormat="1" applyFont="1" applyFill="1" applyBorder="1" applyAlignment="1">
      <alignment vertical="center"/>
      <protection/>
    </xf>
    <xf numFmtId="1" fontId="21" fillId="0" borderId="13" xfId="69" applyNumberFormat="1" applyFont="1" applyFill="1" applyBorder="1" applyAlignment="1">
      <alignment horizontal="right" vertical="center"/>
      <protection/>
    </xf>
    <xf numFmtId="3" fontId="21" fillId="0" borderId="16" xfId="69" applyNumberFormat="1" applyFont="1" applyFill="1" applyBorder="1" applyAlignment="1">
      <alignment vertical="center"/>
      <protection/>
    </xf>
    <xf numFmtId="165" fontId="41" fillId="0" borderId="94" xfId="69" applyNumberFormat="1" applyFont="1" applyFill="1" applyBorder="1" applyAlignment="1">
      <alignment horizontal="right" vertical="center"/>
      <protection/>
    </xf>
    <xf numFmtId="3" fontId="21" fillId="0" borderId="98" xfId="69" applyNumberFormat="1" applyFont="1" applyFill="1" applyBorder="1" applyAlignment="1">
      <alignment horizontal="center" vertical="center"/>
      <protection/>
    </xf>
    <xf numFmtId="1" fontId="20" fillId="0" borderId="17" xfId="69" applyNumberFormat="1" applyFont="1" applyFill="1" applyBorder="1" applyAlignment="1">
      <alignment horizontal="right" vertical="center"/>
      <protection/>
    </xf>
    <xf numFmtId="3" fontId="20" fillId="0" borderId="17" xfId="69" applyNumberFormat="1" applyFont="1" applyFill="1" applyBorder="1" applyAlignment="1" quotePrefix="1">
      <alignment horizontal="center" vertical="center"/>
      <protection/>
    </xf>
    <xf numFmtId="3" fontId="20" fillId="0" borderId="17" xfId="69" applyNumberFormat="1" applyFont="1" applyFill="1" applyBorder="1" applyAlignment="1">
      <alignment horizontal="right" vertical="center"/>
      <protection/>
    </xf>
    <xf numFmtId="3" fontId="21" fillId="0" borderId="17" xfId="69" applyNumberFormat="1" applyFont="1" applyFill="1" applyBorder="1" applyAlignment="1">
      <alignment horizontal="right" vertical="center"/>
      <protection/>
    </xf>
    <xf numFmtId="165" fontId="21" fillId="0" borderId="100" xfId="69" applyNumberFormat="1" applyFont="1" applyFill="1" applyBorder="1" applyAlignment="1">
      <alignment horizontal="right" vertical="center"/>
      <protection/>
    </xf>
    <xf numFmtId="1" fontId="21" fillId="0" borderId="11" xfId="69" applyNumberFormat="1" applyFont="1" applyFill="1" applyBorder="1" applyAlignment="1">
      <alignment horizontal="right" vertical="center"/>
      <protection/>
    </xf>
    <xf numFmtId="1" fontId="20" fillId="0" borderId="16" xfId="69" applyNumberFormat="1" applyFont="1" applyFill="1" applyBorder="1" applyAlignment="1">
      <alignment horizontal="center" vertical="center"/>
      <protection/>
    </xf>
    <xf numFmtId="3" fontId="20" fillId="0" borderId="16" xfId="69" applyNumberFormat="1" applyFont="1" applyFill="1" applyBorder="1" applyAlignment="1">
      <alignment horizontal="left" vertical="center" wrapText="1" indent="1"/>
      <protection/>
    </xf>
    <xf numFmtId="1" fontId="20" fillId="0" borderId="11" xfId="69" applyNumberFormat="1" applyFont="1" applyFill="1" applyBorder="1" applyAlignment="1">
      <alignment horizontal="center" vertical="center"/>
      <protection/>
    </xf>
    <xf numFmtId="3" fontId="21" fillId="0" borderId="99" xfId="69" applyNumberFormat="1" applyFont="1" applyFill="1" applyBorder="1" applyAlignment="1">
      <alignment horizontal="right" vertical="center"/>
      <protection/>
    </xf>
    <xf numFmtId="3" fontId="20" fillId="0" borderId="47" xfId="69" applyNumberFormat="1" applyFont="1" applyFill="1" applyBorder="1" applyAlignment="1">
      <alignment horizontal="right" vertical="center"/>
      <protection/>
    </xf>
    <xf numFmtId="3" fontId="21" fillId="0" borderId="99" xfId="69" applyNumberFormat="1" applyFont="1" applyFill="1" applyBorder="1" applyAlignment="1">
      <alignment vertical="center"/>
      <protection/>
    </xf>
    <xf numFmtId="165" fontId="41" fillId="0" borderId="76" xfId="69" applyNumberFormat="1" applyFont="1" applyFill="1" applyBorder="1" applyAlignment="1">
      <alignment horizontal="right" vertical="center"/>
      <protection/>
    </xf>
    <xf numFmtId="3" fontId="20" fillId="0" borderId="48" xfId="69" applyNumberFormat="1" applyFont="1" applyFill="1" applyBorder="1" applyAlignment="1">
      <alignment horizontal="right" vertical="center"/>
      <protection/>
    </xf>
    <xf numFmtId="3" fontId="21" fillId="0" borderId="48" xfId="69" applyNumberFormat="1" applyFont="1" applyFill="1" applyBorder="1" applyAlignment="1">
      <alignment vertical="center"/>
      <protection/>
    </xf>
    <xf numFmtId="165" fontId="21" fillId="0" borderId="49" xfId="69" applyNumberFormat="1" applyFont="1" applyFill="1" applyBorder="1" applyAlignment="1">
      <alignment horizontal="right" vertical="center"/>
      <protection/>
    </xf>
    <xf numFmtId="3" fontId="21" fillId="0" borderId="101" xfId="69" applyNumberFormat="1" applyFont="1" applyFill="1" applyBorder="1" applyAlignment="1">
      <alignment horizontal="center" vertical="center"/>
      <protection/>
    </xf>
    <xf numFmtId="3" fontId="21" fillId="0" borderId="102" xfId="69" applyNumberFormat="1" applyFont="1" applyFill="1" applyBorder="1" applyAlignment="1">
      <alignment horizontal="center" vertical="center"/>
      <protection/>
    </xf>
    <xf numFmtId="3" fontId="20" fillId="0" borderId="15" xfId="69" applyNumberFormat="1" applyFont="1" applyFill="1" applyBorder="1" applyAlignment="1">
      <alignment horizontal="center" vertical="center"/>
      <protection/>
    </xf>
    <xf numFmtId="3" fontId="21" fillId="0" borderId="15" xfId="69" applyNumberFormat="1" applyFont="1" applyFill="1" applyBorder="1" applyAlignment="1">
      <alignment vertical="center"/>
      <protection/>
    </xf>
    <xf numFmtId="165" fontId="41" fillId="0" borderId="103" xfId="69" applyNumberFormat="1" applyFont="1" applyFill="1" applyBorder="1" applyAlignment="1">
      <alignment horizontal="right" vertical="center"/>
      <protection/>
    </xf>
    <xf numFmtId="3" fontId="20" fillId="0" borderId="104" xfId="69" applyNumberFormat="1" applyFont="1" applyFill="1" applyBorder="1" applyAlignment="1">
      <alignment horizontal="center" vertical="center"/>
      <protection/>
    </xf>
    <xf numFmtId="3" fontId="20" fillId="0" borderId="13" xfId="69" applyNumberFormat="1" applyFont="1" applyFill="1" applyBorder="1" applyAlignment="1">
      <alignment horizontal="right" vertical="center"/>
      <protection/>
    </xf>
    <xf numFmtId="165" fontId="41" fillId="0" borderId="95" xfId="69" applyNumberFormat="1" applyFont="1" applyFill="1" applyBorder="1" applyAlignment="1">
      <alignment horizontal="right" vertical="center"/>
      <protection/>
    </xf>
    <xf numFmtId="3" fontId="20" fillId="0" borderId="105" xfId="69" applyNumberFormat="1" applyFont="1" applyFill="1" applyBorder="1" applyAlignment="1">
      <alignment horizontal="center" vertical="center"/>
      <protection/>
    </xf>
    <xf numFmtId="1" fontId="21" fillId="0" borderId="16" xfId="69" applyNumberFormat="1" applyFont="1" applyFill="1" applyBorder="1" applyAlignment="1">
      <alignment horizontal="right" vertical="center"/>
      <protection/>
    </xf>
    <xf numFmtId="3" fontId="21" fillId="0" borderId="13" xfId="69" applyNumberFormat="1" applyFont="1" applyFill="1" applyBorder="1" applyAlignment="1">
      <alignment horizontal="left" vertical="center"/>
      <protection/>
    </xf>
    <xf numFmtId="3" fontId="21" fillId="0" borderId="17" xfId="69" applyNumberFormat="1" applyFont="1" applyFill="1" applyBorder="1" applyAlignment="1">
      <alignment horizontal="center" vertical="center"/>
      <protection/>
    </xf>
    <xf numFmtId="1" fontId="21" fillId="0" borderId="17" xfId="69" applyNumberFormat="1" applyFont="1" applyFill="1" applyBorder="1" applyAlignment="1">
      <alignment horizontal="right" vertical="center"/>
      <protection/>
    </xf>
    <xf numFmtId="3" fontId="21" fillId="0" borderId="17" xfId="69" applyNumberFormat="1" applyFont="1" applyFill="1" applyBorder="1" applyAlignment="1">
      <alignment vertical="center"/>
      <protection/>
    </xf>
    <xf numFmtId="3" fontId="21" fillId="0" borderId="106" xfId="69" applyNumberFormat="1" applyFont="1" applyFill="1" applyBorder="1" applyAlignment="1">
      <alignment horizontal="center" vertical="center"/>
      <protection/>
    </xf>
    <xf numFmtId="3" fontId="20" fillId="0" borderId="15" xfId="69" applyNumberFormat="1" applyFont="1" applyFill="1" applyBorder="1" applyAlignment="1">
      <alignment vertical="center"/>
      <protection/>
    </xf>
    <xf numFmtId="165" fontId="21" fillId="0" borderId="103" xfId="69" applyNumberFormat="1" applyFont="1" applyFill="1" applyBorder="1" applyAlignment="1">
      <alignment horizontal="right" vertical="center"/>
      <protection/>
    </xf>
    <xf numFmtId="3" fontId="21" fillId="0" borderId="13" xfId="69" applyNumberFormat="1" applyFont="1" applyFill="1" applyBorder="1" applyAlignment="1">
      <alignment horizontal="left" vertical="center" wrapText="1"/>
      <protection/>
    </xf>
    <xf numFmtId="3" fontId="40" fillId="0" borderId="17" xfId="69" applyNumberFormat="1" applyFont="1" applyFill="1" applyBorder="1" applyAlignment="1">
      <alignment horizontal="right" vertical="center"/>
      <protection/>
    </xf>
    <xf numFmtId="3" fontId="20" fillId="0" borderId="16" xfId="69" applyNumberFormat="1" applyFont="1" applyFill="1" applyBorder="1" applyAlignment="1">
      <alignment vertical="center" shrinkToFit="1"/>
      <protection/>
    </xf>
    <xf numFmtId="165" fontId="21" fillId="0" borderId="44" xfId="69" applyNumberFormat="1" applyFont="1" applyFill="1" applyBorder="1" applyAlignment="1">
      <alignment horizontal="right" vertical="center"/>
      <protection/>
    </xf>
    <xf numFmtId="3" fontId="21" fillId="0" borderId="104" xfId="69" applyNumberFormat="1" applyFont="1" applyFill="1" applyBorder="1" applyAlignment="1">
      <alignment horizontal="center" vertical="center"/>
      <protection/>
    </xf>
    <xf numFmtId="1" fontId="20" fillId="0" borderId="14" xfId="69" applyNumberFormat="1" applyFont="1" applyFill="1" applyBorder="1" applyAlignment="1">
      <alignment horizontal="center" vertical="center"/>
      <protection/>
    </xf>
    <xf numFmtId="1" fontId="20" fillId="0" borderId="14" xfId="69" applyNumberFormat="1" applyFont="1" applyFill="1" applyBorder="1" applyAlignment="1">
      <alignment horizontal="right" vertical="center"/>
      <protection/>
    </xf>
    <xf numFmtId="3" fontId="40" fillId="0" borderId="14" xfId="69" applyNumberFormat="1" applyFont="1" applyFill="1" applyBorder="1" applyAlignment="1">
      <alignment horizontal="right" vertical="center"/>
      <protection/>
    </xf>
    <xf numFmtId="3" fontId="20" fillId="0" borderId="14" xfId="69" applyNumberFormat="1" applyFont="1" applyFill="1" applyBorder="1" applyAlignment="1">
      <alignment vertical="center"/>
      <protection/>
    </xf>
    <xf numFmtId="3" fontId="21" fillId="0" borderId="14" xfId="69" applyNumberFormat="1" applyFont="1" applyFill="1" applyBorder="1" applyAlignment="1">
      <alignment horizontal="right" vertical="center"/>
      <protection/>
    </xf>
    <xf numFmtId="3" fontId="21" fillId="0" borderId="14" xfId="69" applyNumberFormat="1" applyFont="1" applyFill="1" applyBorder="1" applyAlignment="1">
      <alignment vertical="center"/>
      <protection/>
    </xf>
    <xf numFmtId="3" fontId="21" fillId="0" borderId="86" xfId="69" applyNumberFormat="1" applyFont="1" applyFill="1" applyBorder="1" applyAlignment="1">
      <alignment horizontal="right" vertical="center"/>
      <protection/>
    </xf>
    <xf numFmtId="1" fontId="21" fillId="0" borderId="86" xfId="69" applyNumberFormat="1" applyFont="1" applyFill="1" applyBorder="1" applyAlignment="1">
      <alignment horizontal="right" vertical="center"/>
      <protection/>
    </xf>
    <xf numFmtId="1" fontId="40" fillId="0" borderId="15" xfId="69" applyNumberFormat="1" applyFont="1" applyFill="1" applyBorder="1" applyAlignment="1">
      <alignment horizontal="right" vertical="center"/>
      <protection/>
    </xf>
    <xf numFmtId="164" fontId="20" fillId="0" borderId="16" xfId="69" applyNumberFormat="1" applyFont="1" applyFill="1" applyBorder="1" applyAlignment="1">
      <alignment horizontal="center" vertical="center"/>
      <protection/>
    </xf>
    <xf numFmtId="164" fontId="20" fillId="0" borderId="17" xfId="69" applyNumberFormat="1" applyFont="1" applyFill="1" applyBorder="1" applyAlignment="1">
      <alignment horizontal="center" vertical="center"/>
      <protection/>
    </xf>
    <xf numFmtId="3" fontId="20" fillId="0" borderId="17" xfId="69" applyNumberFormat="1" applyFont="1" applyFill="1" applyBorder="1" applyAlignment="1">
      <alignment vertical="center"/>
      <protection/>
    </xf>
    <xf numFmtId="3" fontId="20" fillId="0" borderId="45" xfId="69" applyNumberFormat="1" applyFont="1" applyFill="1" applyBorder="1" applyAlignment="1">
      <alignment horizontal="center" vertical="center"/>
      <protection/>
    </xf>
    <xf numFmtId="3" fontId="21" fillId="0" borderId="84" xfId="69" applyNumberFormat="1" applyFont="1" applyFill="1" applyBorder="1" applyAlignment="1">
      <alignment horizontal="center" vertical="center"/>
      <protection/>
    </xf>
    <xf numFmtId="3" fontId="20" fillId="0" borderId="20" xfId="69" applyNumberFormat="1" applyFont="1" applyFill="1" applyBorder="1" applyAlignment="1">
      <alignment horizontal="center" vertical="center"/>
      <protection/>
    </xf>
    <xf numFmtId="1" fontId="20" fillId="0" borderId="20" xfId="69" applyNumberFormat="1" applyFont="1" applyFill="1" applyBorder="1" applyAlignment="1">
      <alignment horizontal="right" vertical="center"/>
      <protection/>
    </xf>
    <xf numFmtId="3" fontId="20" fillId="0" borderId="20" xfId="69" applyNumberFormat="1" applyFont="1" applyFill="1" applyBorder="1" applyAlignment="1">
      <alignment horizontal="right" vertical="center"/>
      <protection/>
    </xf>
    <xf numFmtId="3" fontId="43" fillId="0" borderId="15" xfId="69" applyNumberFormat="1" applyFont="1" applyFill="1" applyBorder="1" applyAlignment="1">
      <alignment horizontal="right" vertical="center"/>
      <protection/>
    </xf>
    <xf numFmtId="1" fontId="21" fillId="0" borderId="15" xfId="69" applyNumberFormat="1" applyFont="1" applyFill="1" applyBorder="1" applyAlignment="1">
      <alignment horizontal="right" vertical="center"/>
      <protection/>
    </xf>
    <xf numFmtId="3" fontId="43" fillId="0" borderId="16" xfId="69" applyNumberFormat="1" applyFont="1" applyFill="1" applyBorder="1" applyAlignment="1">
      <alignment horizontal="right" vertical="center"/>
      <protection/>
    </xf>
    <xf numFmtId="3" fontId="43" fillId="0" borderId="11" xfId="69" applyNumberFormat="1" applyFont="1" applyFill="1" applyBorder="1" applyAlignment="1">
      <alignment horizontal="right" vertical="center"/>
      <protection/>
    </xf>
    <xf numFmtId="3" fontId="21" fillId="0" borderId="20" xfId="69" applyNumberFormat="1" applyFont="1" applyFill="1" applyBorder="1" applyAlignment="1">
      <alignment horizontal="right" vertical="center"/>
      <protection/>
    </xf>
    <xf numFmtId="3" fontId="21" fillId="0" borderId="20" xfId="69" applyNumberFormat="1" applyFont="1" applyFill="1" applyBorder="1" applyAlignment="1">
      <alignment vertical="center"/>
      <protection/>
    </xf>
    <xf numFmtId="165" fontId="41" fillId="0" borderId="44" xfId="69" applyNumberFormat="1" applyFont="1" applyFill="1" applyBorder="1" applyAlignment="1">
      <alignment horizontal="right" vertical="center"/>
      <protection/>
    </xf>
    <xf numFmtId="3" fontId="40" fillId="0" borderId="16" xfId="69" applyNumberFormat="1" applyFont="1" applyFill="1" applyBorder="1" applyAlignment="1">
      <alignment vertical="center"/>
      <protection/>
    </xf>
    <xf numFmtId="3" fontId="40" fillId="0" borderId="14" xfId="69" applyNumberFormat="1" applyFont="1" applyFill="1" applyBorder="1" applyAlignment="1">
      <alignment vertical="center"/>
      <protection/>
    </xf>
    <xf numFmtId="3" fontId="20" fillId="0" borderId="14" xfId="69" applyNumberFormat="1" applyFont="1" applyFill="1" applyBorder="1" applyAlignment="1">
      <alignment horizontal="left" vertical="center" indent="1"/>
      <protection/>
    </xf>
    <xf numFmtId="3" fontId="20" fillId="0" borderId="20" xfId="69" applyNumberFormat="1" applyFont="1" applyFill="1" applyBorder="1" applyAlignment="1">
      <alignment vertical="center"/>
      <protection/>
    </xf>
    <xf numFmtId="3" fontId="43" fillId="0" borderId="13" xfId="69" applyNumberFormat="1" applyFont="1" applyFill="1" applyBorder="1" applyAlignment="1">
      <alignment vertical="center"/>
      <protection/>
    </xf>
    <xf numFmtId="3" fontId="43" fillId="0" borderId="13" xfId="69" applyNumberFormat="1" applyFont="1" applyFill="1" applyBorder="1" applyAlignment="1">
      <alignment horizontal="right" vertical="center"/>
      <protection/>
    </xf>
    <xf numFmtId="1" fontId="20" fillId="0" borderId="107" xfId="69" applyNumberFormat="1" applyFont="1" applyFill="1" applyBorder="1" applyAlignment="1">
      <alignment horizontal="right" vertical="center"/>
      <protection/>
    </xf>
    <xf numFmtId="3" fontId="43" fillId="0" borderId="16" xfId="69" applyNumberFormat="1" applyFont="1" applyFill="1" applyBorder="1" applyAlignment="1">
      <alignment vertical="center"/>
      <protection/>
    </xf>
    <xf numFmtId="1" fontId="20" fillId="0" borderId="108" xfId="69" applyNumberFormat="1" applyFont="1" applyFill="1" applyBorder="1" applyAlignment="1">
      <alignment horizontal="right" vertical="center"/>
      <protection/>
    </xf>
    <xf numFmtId="3" fontId="43" fillId="0" borderId="20" xfId="69" applyNumberFormat="1" applyFont="1" applyFill="1" applyBorder="1" applyAlignment="1">
      <alignment horizontal="right" vertical="center"/>
      <protection/>
    </xf>
    <xf numFmtId="3" fontId="43" fillId="0" borderId="20" xfId="69" applyNumberFormat="1" applyFont="1" applyFill="1" applyBorder="1" applyAlignment="1">
      <alignment vertical="center"/>
      <protection/>
    </xf>
    <xf numFmtId="1" fontId="21" fillId="0" borderId="20" xfId="69" applyNumberFormat="1" applyFont="1" applyFill="1" applyBorder="1" applyAlignment="1">
      <alignment horizontal="right" vertical="center"/>
      <protection/>
    </xf>
    <xf numFmtId="1" fontId="20" fillId="0" borderId="109" xfId="69" applyNumberFormat="1" applyFont="1" applyFill="1" applyBorder="1" applyAlignment="1">
      <alignment horizontal="right" vertical="center"/>
      <protection/>
    </xf>
    <xf numFmtId="0" fontId="40" fillId="0" borderId="16" xfId="0" applyFont="1" applyBorder="1" applyAlignment="1">
      <alignment vertical="center"/>
    </xf>
    <xf numFmtId="1" fontId="20" fillId="0" borderId="110" xfId="69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 vertical="center"/>
    </xf>
    <xf numFmtId="3" fontId="43" fillId="0" borderId="11" xfId="69" applyNumberFormat="1" applyFont="1" applyFill="1" applyBorder="1" applyAlignment="1">
      <alignment vertical="center"/>
      <protection/>
    </xf>
    <xf numFmtId="1" fontId="40" fillId="0" borderId="86" xfId="69" applyNumberFormat="1" applyFont="1" applyFill="1" applyBorder="1" applyAlignment="1">
      <alignment horizontal="right" vertical="center"/>
      <protection/>
    </xf>
    <xf numFmtId="3" fontId="40" fillId="0" borderId="11" xfId="69" applyNumberFormat="1" applyFont="1" applyFill="1" applyBorder="1" applyAlignment="1">
      <alignment vertical="center"/>
      <protection/>
    </xf>
    <xf numFmtId="3" fontId="20" fillId="0" borderId="11" xfId="69" applyNumberFormat="1" applyFont="1" applyFill="1" applyBorder="1" applyAlignment="1">
      <alignment horizontal="left" vertical="center" indent="1"/>
      <protection/>
    </xf>
    <xf numFmtId="1" fontId="40" fillId="0" borderId="13" xfId="69" applyNumberFormat="1" applyFont="1" applyFill="1" applyBorder="1" applyAlignment="1">
      <alignment horizontal="right" vertical="center"/>
      <protection/>
    </xf>
    <xf numFmtId="3" fontId="21" fillId="0" borderId="11" xfId="69" applyNumberFormat="1" applyFont="1" applyFill="1" applyBorder="1" applyAlignment="1">
      <alignment horizontal="left" vertical="center" wrapText="1"/>
      <protection/>
    </xf>
    <xf numFmtId="164" fontId="20" fillId="0" borderId="86" xfId="69" applyNumberFormat="1" applyFont="1" applyFill="1" applyBorder="1" applyAlignment="1">
      <alignment horizontal="center" vertical="center"/>
      <protection/>
    </xf>
    <xf numFmtId="3" fontId="21" fillId="0" borderId="33" xfId="69" applyNumberFormat="1" applyFont="1" applyFill="1" applyBorder="1" applyAlignment="1">
      <alignment horizontal="center" vertical="center"/>
      <protection/>
    </xf>
    <xf numFmtId="3" fontId="21" fillId="0" borderId="28" xfId="69" applyNumberFormat="1" applyFont="1" applyFill="1" applyBorder="1" applyAlignment="1">
      <alignment horizontal="left" vertical="center"/>
      <protection/>
    </xf>
    <xf numFmtId="3" fontId="20" fillId="0" borderId="97" xfId="69" applyNumberFormat="1" applyFont="1" applyFill="1" applyBorder="1" applyAlignment="1">
      <alignment horizontal="left" vertical="center" indent="1"/>
      <protection/>
    </xf>
    <xf numFmtId="3" fontId="20" fillId="0" borderId="0" xfId="69" applyNumberFormat="1" applyFont="1" applyFill="1" applyBorder="1" applyAlignment="1">
      <alignment horizontal="left" vertical="center" indent="1"/>
      <protection/>
    </xf>
    <xf numFmtId="1" fontId="20" fillId="0" borderId="97" xfId="69" applyNumberFormat="1" applyFont="1" applyFill="1" applyBorder="1" applyAlignment="1">
      <alignment horizontal="right" vertical="center"/>
      <protection/>
    </xf>
    <xf numFmtId="3" fontId="21" fillId="0" borderId="22" xfId="69" applyNumberFormat="1" applyFont="1" applyFill="1" applyBorder="1" applyAlignment="1">
      <alignment horizontal="right" vertical="center"/>
      <protection/>
    </xf>
    <xf numFmtId="165" fontId="21" fillId="0" borderId="111" xfId="69" applyNumberFormat="1" applyFont="1" applyFill="1" applyBorder="1" applyAlignment="1">
      <alignment horizontal="right" vertical="center"/>
      <protection/>
    </xf>
    <xf numFmtId="3" fontId="21" fillId="0" borderId="112" xfId="69" applyNumberFormat="1" applyFont="1" applyFill="1" applyBorder="1" applyAlignment="1">
      <alignment horizontal="center" vertical="center"/>
      <protection/>
    </xf>
    <xf numFmtId="3" fontId="21" fillId="0" borderId="113" xfId="69" applyNumberFormat="1" applyFont="1" applyFill="1" applyBorder="1" applyAlignment="1">
      <alignment horizontal="center" vertical="center"/>
      <protection/>
    </xf>
    <xf numFmtId="3" fontId="21" fillId="0" borderId="114" xfId="69" applyNumberFormat="1" applyFont="1" applyFill="1" applyBorder="1" applyAlignment="1">
      <alignment horizontal="center" vertical="center"/>
      <protection/>
    </xf>
    <xf numFmtId="3" fontId="21" fillId="0" borderId="115" xfId="69" applyNumberFormat="1" applyFont="1" applyFill="1" applyBorder="1" applyAlignment="1">
      <alignment horizontal="center" vertical="center"/>
      <protection/>
    </xf>
    <xf numFmtId="3" fontId="21" fillId="0" borderId="42" xfId="69" applyNumberFormat="1" applyFont="1" applyFill="1" applyBorder="1" applyAlignment="1">
      <alignment horizontal="center" vertical="center"/>
      <protection/>
    </xf>
    <xf numFmtId="3" fontId="21" fillId="0" borderId="14" xfId="69" applyNumberFormat="1" applyFont="1" applyFill="1" applyBorder="1" applyAlignment="1">
      <alignment horizontal="center" vertical="center"/>
      <protection/>
    </xf>
    <xf numFmtId="3" fontId="21" fillId="0" borderId="79" xfId="69" applyNumberFormat="1" applyFont="1" applyFill="1" applyBorder="1" applyAlignment="1">
      <alignment horizontal="center" vertical="center"/>
      <protection/>
    </xf>
    <xf numFmtId="3" fontId="21" fillId="0" borderId="79" xfId="69" applyNumberFormat="1" applyFont="1" applyFill="1" applyBorder="1" applyAlignment="1">
      <alignment horizontal="right" vertical="center"/>
      <protection/>
    </xf>
    <xf numFmtId="3" fontId="21" fillId="0" borderId="14" xfId="69" applyNumberFormat="1" applyFont="1" applyFill="1" applyBorder="1" applyAlignment="1">
      <alignment horizontal="left" vertical="center" indent="1"/>
      <protection/>
    </xf>
    <xf numFmtId="1" fontId="21" fillId="0" borderId="14" xfId="69" applyNumberFormat="1" applyFont="1" applyFill="1" applyBorder="1" applyAlignment="1">
      <alignment horizontal="right" vertical="center"/>
      <protection/>
    </xf>
    <xf numFmtId="3" fontId="21" fillId="0" borderId="15" xfId="69" applyNumberFormat="1" applyFont="1" applyFill="1" applyBorder="1" applyAlignment="1">
      <alignment horizontal="left" vertical="center" indent="1"/>
      <protection/>
    </xf>
    <xf numFmtId="1" fontId="20" fillId="0" borderId="112" xfId="69" applyNumberFormat="1" applyFont="1" applyFill="1" applyBorder="1" applyAlignment="1">
      <alignment horizontal="right" vertical="center"/>
      <protection/>
    </xf>
    <xf numFmtId="3" fontId="21" fillId="0" borderId="32" xfId="69" applyNumberFormat="1" applyFont="1" applyFill="1" applyBorder="1" applyAlignment="1">
      <alignment horizontal="center" vertical="center" wrapText="1"/>
      <protection/>
    </xf>
    <xf numFmtId="3" fontId="21" fillId="0" borderId="0" xfId="69" applyNumberFormat="1" applyFont="1" applyFill="1" applyBorder="1" applyAlignment="1">
      <alignment horizontal="center" vertical="center" wrapText="1"/>
      <protection/>
    </xf>
    <xf numFmtId="3" fontId="21" fillId="0" borderId="96" xfId="69" applyNumberFormat="1" applyFont="1" applyFill="1" applyBorder="1" applyAlignment="1">
      <alignment horizontal="center" vertical="center" wrapText="1"/>
      <protection/>
    </xf>
    <xf numFmtId="3" fontId="21" fillId="0" borderId="16" xfId="69" applyNumberFormat="1" applyFont="1" applyFill="1" applyBorder="1" applyAlignment="1">
      <alignment horizontal="center" vertical="center" wrapText="1"/>
      <protection/>
    </xf>
    <xf numFmtId="3" fontId="21" fillId="0" borderId="97" xfId="69" applyNumberFormat="1" applyFont="1" applyFill="1" applyBorder="1" applyAlignment="1">
      <alignment horizontal="center" vertical="center" wrapText="1"/>
      <protection/>
    </xf>
    <xf numFmtId="1" fontId="40" fillId="0" borderId="17" xfId="69" applyNumberFormat="1" applyFont="1" applyFill="1" applyBorder="1" applyAlignment="1">
      <alignment horizontal="right" vertical="center"/>
      <protection/>
    </xf>
    <xf numFmtId="3" fontId="20" fillId="0" borderId="20" xfId="69" applyNumberFormat="1" applyFont="1" applyFill="1" applyBorder="1" applyAlignment="1" quotePrefix="1">
      <alignment horizontal="center" vertical="center"/>
      <protection/>
    </xf>
    <xf numFmtId="165" fontId="21" fillId="0" borderId="0" xfId="69" applyNumberFormat="1" applyFont="1" applyFill="1" applyAlignment="1">
      <alignment horizontal="right" vertical="center"/>
      <protection/>
    </xf>
    <xf numFmtId="3" fontId="43" fillId="0" borderId="0" xfId="69" applyNumberFormat="1" applyFont="1" applyFill="1" applyAlignment="1">
      <alignment vertical="center"/>
      <protection/>
    </xf>
    <xf numFmtId="3" fontId="44" fillId="0" borderId="86" xfId="69" applyNumberFormat="1" applyFont="1" applyFill="1" applyBorder="1" applyAlignment="1">
      <alignment horizontal="left" vertical="center" indent="2"/>
      <protection/>
    </xf>
    <xf numFmtId="165" fontId="19" fillId="0" borderId="95" xfId="69" applyNumberFormat="1" applyFont="1" applyFill="1" applyBorder="1" applyAlignment="1">
      <alignment horizontal="center" vertical="center"/>
      <protection/>
    </xf>
    <xf numFmtId="3" fontId="11" fillId="0" borderId="0" xfId="69" applyNumberFormat="1" applyFont="1" applyFill="1" applyBorder="1" applyAlignment="1">
      <alignment horizontal="center" vertical="center"/>
      <protection/>
    </xf>
    <xf numFmtId="165" fontId="19" fillId="0" borderId="50" xfId="69" applyNumberFormat="1" applyFont="1" applyFill="1" applyBorder="1" applyAlignment="1">
      <alignment horizontal="center" vertical="center"/>
      <protection/>
    </xf>
    <xf numFmtId="165" fontId="19" fillId="0" borderId="91" xfId="69" applyNumberFormat="1" applyFont="1" applyFill="1" applyBorder="1" applyAlignment="1">
      <alignment horizontal="right" vertical="center"/>
      <protection/>
    </xf>
    <xf numFmtId="3" fontId="44" fillId="0" borderId="16" xfId="69" applyNumberFormat="1" applyFont="1" applyFill="1" applyBorder="1" applyAlignment="1">
      <alignment horizontal="left" vertical="center" indent="2"/>
      <protection/>
    </xf>
    <xf numFmtId="3" fontId="21" fillId="0" borderId="116" xfId="69" applyNumberFormat="1" applyFont="1" applyFill="1" applyBorder="1" applyAlignment="1">
      <alignment horizontal="left" vertical="center"/>
      <protection/>
    </xf>
    <xf numFmtId="49" fontId="24" fillId="0" borderId="0" xfId="0" applyNumberFormat="1" applyFont="1" applyFill="1" applyAlignment="1">
      <alignment vertical="center" shrinkToFit="1"/>
    </xf>
    <xf numFmtId="3" fontId="24" fillId="0" borderId="0" xfId="0" applyNumberFormat="1" applyFont="1" applyFill="1" applyAlignment="1">
      <alignment vertical="center" shrinkToFit="1"/>
    </xf>
    <xf numFmtId="3" fontId="20" fillId="0" borderId="0" xfId="0" applyNumberFormat="1" applyFont="1" applyFill="1" applyAlignment="1">
      <alignment horizontal="right" vertical="center" shrinkToFit="1"/>
    </xf>
    <xf numFmtId="3" fontId="24" fillId="0" borderId="11" xfId="0" applyNumberFormat="1" applyFont="1" applyFill="1" applyBorder="1" applyAlignment="1">
      <alignment vertical="center" shrinkToFit="1"/>
    </xf>
    <xf numFmtId="3" fontId="24" fillId="0" borderId="21" xfId="0" applyNumberFormat="1" applyFont="1" applyFill="1" applyBorder="1" applyAlignment="1">
      <alignment vertical="center" shrinkToFit="1"/>
    </xf>
    <xf numFmtId="3" fontId="24" fillId="0" borderId="12" xfId="0" applyNumberFormat="1" applyFont="1" applyFill="1" applyBorder="1" applyAlignment="1">
      <alignment vertical="center" shrinkToFit="1"/>
    </xf>
    <xf numFmtId="0" fontId="22" fillId="0" borderId="29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vertical="center" shrinkToFit="1"/>
    </xf>
    <xf numFmtId="3" fontId="20" fillId="0" borderId="13" xfId="0" applyNumberFormat="1" applyFont="1" applyFill="1" applyBorder="1" applyAlignment="1">
      <alignment horizontal="right" vertical="center" shrinkToFit="1"/>
    </xf>
    <xf numFmtId="3" fontId="24" fillId="0" borderId="13" xfId="0" applyNumberFormat="1" applyFont="1" applyFill="1" applyBorder="1" applyAlignment="1">
      <alignment vertical="center" shrinkToFit="1"/>
    </xf>
    <xf numFmtId="0" fontId="24" fillId="0" borderId="32" xfId="0" applyFont="1" applyFill="1" applyBorder="1" applyAlignment="1">
      <alignment vertical="center" shrinkToFit="1"/>
    </xf>
    <xf numFmtId="49" fontId="24" fillId="0" borderId="18" xfId="0" applyNumberFormat="1" applyFont="1" applyFill="1" applyBorder="1" applyAlignment="1">
      <alignment vertical="center" shrinkToFit="1"/>
    </xf>
    <xf numFmtId="3" fontId="21" fillId="0" borderId="18" xfId="0" applyNumberFormat="1" applyFont="1" applyFill="1" applyBorder="1" applyAlignment="1">
      <alignment horizontal="right" vertical="center" shrinkToFit="1"/>
    </xf>
    <xf numFmtId="3" fontId="22" fillId="0" borderId="18" xfId="0" applyNumberFormat="1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165" fontId="20" fillId="0" borderId="0" xfId="0" applyNumberFormat="1" applyFont="1" applyFill="1" applyBorder="1" applyAlignment="1">
      <alignment horizontal="center" vertical="center" shrinkToFit="1"/>
    </xf>
    <xf numFmtId="2" fontId="20" fillId="0" borderId="0" xfId="0" applyNumberFormat="1" applyFont="1" applyFill="1" applyBorder="1" applyAlignment="1">
      <alignment horizontal="center" vertical="center" shrinkToFit="1"/>
    </xf>
    <xf numFmtId="0" fontId="34" fillId="0" borderId="32" xfId="0" applyFont="1" applyFill="1" applyBorder="1" applyAlignment="1">
      <alignment vertical="center" shrinkToFit="1"/>
    </xf>
    <xf numFmtId="2" fontId="34" fillId="0" borderId="0" xfId="0" applyNumberFormat="1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center" vertical="center" shrinkToFit="1"/>
    </xf>
    <xf numFmtId="49" fontId="20" fillId="0" borderId="68" xfId="0" applyNumberFormat="1" applyFont="1" applyFill="1" applyBorder="1" applyAlignment="1">
      <alignment horizontal="left" vertical="center" indent="1" shrinkToFit="1"/>
    </xf>
    <xf numFmtId="0" fontId="20" fillId="0" borderId="32" xfId="0" applyFont="1" applyFill="1" applyBorder="1" applyAlignment="1">
      <alignment horizontal="justify" vertical="center" shrinkToFit="1"/>
    </xf>
    <xf numFmtId="0" fontId="24" fillId="0" borderId="23" xfId="0" applyFont="1" applyFill="1" applyBorder="1" applyAlignment="1">
      <alignment vertical="center" shrinkToFit="1"/>
    </xf>
    <xf numFmtId="0" fontId="24" fillId="0" borderId="24" xfId="0" applyFont="1" applyFill="1" applyBorder="1" applyAlignment="1">
      <alignment vertical="center" shrinkToFit="1"/>
    </xf>
    <xf numFmtId="49" fontId="22" fillId="0" borderId="40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117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118" xfId="0" applyNumberFormat="1" applyFont="1" applyBorder="1" applyAlignment="1">
      <alignment horizontal="center" vertical="center" wrapText="1"/>
    </xf>
    <xf numFmtId="0" fontId="21" fillId="0" borderId="111" xfId="0" applyFont="1" applyBorder="1" applyAlignment="1">
      <alignment horizontal="center" vertical="center"/>
    </xf>
    <xf numFmtId="0" fontId="20" fillId="0" borderId="92" xfId="0" applyNumberFormat="1" applyFont="1" applyBorder="1" applyAlignment="1">
      <alignment horizontal="center" vertical="center" wrapText="1"/>
    </xf>
    <xf numFmtId="0" fontId="20" fillId="0" borderId="86" xfId="0" applyFont="1" applyBorder="1" applyAlignment="1">
      <alignment vertical="center" wrapText="1"/>
    </xf>
    <xf numFmtId="3" fontId="20" fillId="0" borderId="86" xfId="0" applyNumberFormat="1" applyFont="1" applyBorder="1" applyAlignment="1">
      <alignment vertical="center"/>
    </xf>
    <xf numFmtId="3" fontId="20" fillId="0" borderId="119" xfId="0" applyNumberFormat="1" applyFont="1" applyBorder="1" applyAlignment="1">
      <alignment vertical="center"/>
    </xf>
    <xf numFmtId="0" fontId="20" fillId="0" borderId="93" xfId="0" applyFont="1" applyBorder="1" applyAlignment="1">
      <alignment horizontal="center" vertical="center"/>
    </xf>
    <xf numFmtId="0" fontId="20" fillId="0" borderId="89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0" fillId="0" borderId="94" xfId="0" applyFont="1" applyBorder="1" applyAlignment="1">
      <alignment horizontal="center" vertical="center"/>
    </xf>
    <xf numFmtId="0" fontId="20" fillId="0" borderId="10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/>
    </xf>
    <xf numFmtId="3" fontId="20" fillId="0" borderId="110" xfId="0" applyNumberFormat="1" applyFont="1" applyBorder="1" applyAlignment="1">
      <alignment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98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3" fontId="20" fillId="0" borderId="17" xfId="0" applyNumberFormat="1" applyFont="1" applyBorder="1" applyAlignment="1">
      <alignment vertical="center"/>
    </xf>
    <xf numFmtId="3" fontId="20" fillId="0" borderId="120" xfId="0" applyNumberFormat="1" applyFont="1" applyBorder="1" applyAlignment="1">
      <alignment vertical="center"/>
    </xf>
    <xf numFmtId="0" fontId="20" fillId="0" borderId="100" xfId="0" applyFont="1" applyBorder="1" applyAlignment="1">
      <alignment horizontal="center" vertical="center" wrapText="1"/>
    </xf>
    <xf numFmtId="0" fontId="20" fillId="34" borderId="121" xfId="0" applyNumberFormat="1" applyFont="1" applyFill="1" applyBorder="1" applyAlignment="1">
      <alignment horizontal="center" vertical="center" wrapText="1"/>
    </xf>
    <xf numFmtId="0" fontId="21" fillId="0" borderId="122" xfId="0" applyFont="1" applyBorder="1" applyAlignment="1">
      <alignment horizontal="left" vertical="center" wrapText="1"/>
    </xf>
    <xf numFmtId="3" fontId="21" fillId="0" borderId="121" xfId="0" applyNumberFormat="1" applyFont="1" applyBorder="1" applyAlignment="1">
      <alignment horizontal="right" vertical="center" wrapText="1"/>
    </xf>
    <xf numFmtId="3" fontId="21" fillId="0" borderId="122" xfId="0" applyNumberFormat="1" applyFont="1" applyBorder="1" applyAlignment="1">
      <alignment horizontal="right" vertical="center" wrapText="1"/>
    </xf>
    <xf numFmtId="0" fontId="20" fillId="34" borderId="1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20" fillId="0" borderId="12" xfId="69" applyNumberFormat="1" applyFont="1" applyFill="1" applyBorder="1" applyAlignment="1">
      <alignment horizontal="left" vertical="center" indent="1"/>
      <protection/>
    </xf>
    <xf numFmtId="164" fontId="20" fillId="0" borderId="12" xfId="69" applyNumberFormat="1" applyFont="1" applyFill="1" applyBorder="1" applyAlignment="1">
      <alignment horizontal="left" vertical="center" indent="1"/>
      <protection/>
    </xf>
    <xf numFmtId="3" fontId="24" fillId="0" borderId="56" xfId="0" applyNumberFormat="1" applyFont="1" applyFill="1" applyBorder="1" applyAlignment="1">
      <alignment horizontal="right" vertical="center" shrinkToFit="1"/>
    </xf>
    <xf numFmtId="3" fontId="24" fillId="0" borderId="0" xfId="0" applyNumberFormat="1" applyFont="1" applyFill="1" applyAlignment="1">
      <alignment horizontal="right" vertical="center" shrinkToFit="1"/>
    </xf>
    <xf numFmtId="0" fontId="46" fillId="0" borderId="0" xfId="0" applyFont="1" applyFill="1" applyAlignment="1">
      <alignment vertical="center" shrinkToFit="1"/>
    </xf>
    <xf numFmtId="0" fontId="47" fillId="0" borderId="0" xfId="0" applyFont="1" applyFill="1" applyAlignment="1">
      <alignment horizontal="right" vertical="center" shrinkToFit="1"/>
    </xf>
    <xf numFmtId="0" fontId="4" fillId="0" borderId="101" xfId="0" applyFont="1" applyFill="1" applyBorder="1" applyAlignment="1">
      <alignment vertical="center"/>
    </xf>
    <xf numFmtId="0" fontId="46" fillId="0" borderId="102" xfId="0" applyFont="1" applyFill="1" applyBorder="1" applyAlignment="1">
      <alignment vertical="center"/>
    </xf>
    <xf numFmtId="0" fontId="49" fillId="0" borderId="123" xfId="0" applyFont="1" applyFill="1" applyBorder="1" applyAlignment="1">
      <alignment horizontal="center" vertical="center"/>
    </xf>
    <xf numFmtId="0" fontId="49" fillId="0" borderId="124" xfId="0" applyFont="1" applyFill="1" applyBorder="1" applyAlignment="1">
      <alignment horizontal="center" vertical="center"/>
    </xf>
    <xf numFmtId="0" fontId="50" fillId="0" borderId="125" xfId="0" applyFont="1" applyFill="1" applyBorder="1" applyAlignment="1">
      <alignment horizontal="center" vertical="center" shrinkToFit="1"/>
    </xf>
    <xf numFmtId="0" fontId="46" fillId="0" borderId="69" xfId="0" applyFont="1" applyFill="1" applyBorder="1" applyAlignment="1">
      <alignment vertical="center" wrapText="1"/>
    </xf>
    <xf numFmtId="3" fontId="5" fillId="0" borderId="126" xfId="0" applyNumberFormat="1" applyFont="1" applyFill="1" applyBorder="1" applyAlignment="1">
      <alignment horizontal="right" vertical="center" shrinkToFit="1"/>
    </xf>
    <xf numFmtId="3" fontId="51" fillId="0" borderId="38" xfId="0" applyNumberFormat="1" applyFont="1" applyFill="1" applyBorder="1" applyAlignment="1">
      <alignment horizontal="right" vertical="center" shrinkToFit="1"/>
    </xf>
    <xf numFmtId="0" fontId="50" fillId="0" borderId="127" xfId="0" applyFont="1" applyFill="1" applyBorder="1" applyAlignment="1">
      <alignment horizontal="center" vertical="center" shrinkToFit="1"/>
    </xf>
    <xf numFmtId="0" fontId="46" fillId="0" borderId="128" xfId="0" applyFont="1" applyFill="1" applyBorder="1" applyAlignment="1">
      <alignment vertical="center" wrapText="1"/>
    </xf>
    <xf numFmtId="3" fontId="5" fillId="0" borderId="129" xfId="0" applyNumberFormat="1" applyFont="1" applyFill="1" applyBorder="1" applyAlignment="1">
      <alignment horizontal="right" vertical="center" shrinkToFit="1"/>
    </xf>
    <xf numFmtId="3" fontId="51" fillId="0" borderId="39" xfId="0" applyNumberFormat="1" applyFont="1" applyFill="1" applyBorder="1" applyAlignment="1">
      <alignment horizontal="right" vertical="center" shrinkToFit="1"/>
    </xf>
    <xf numFmtId="0" fontId="52" fillId="0" borderId="127" xfId="0" applyFont="1" applyFill="1" applyBorder="1" applyAlignment="1">
      <alignment horizontal="center" vertical="center" shrinkToFit="1"/>
    </xf>
    <xf numFmtId="0" fontId="53" fillId="0" borderId="128" xfId="0" applyFont="1" applyFill="1" applyBorder="1" applyAlignment="1" quotePrefix="1">
      <alignment horizontal="left" vertical="center" wrapText="1" indent="1"/>
    </xf>
    <xf numFmtId="3" fontId="54" fillId="0" borderId="129" xfId="0" applyNumberFormat="1" applyFont="1" applyFill="1" applyBorder="1" applyAlignment="1">
      <alignment horizontal="right" vertical="center" shrinkToFit="1"/>
    </xf>
    <xf numFmtId="3" fontId="55" fillId="0" borderId="39" xfId="0" applyNumberFormat="1" applyFont="1" applyFill="1" applyBorder="1" applyAlignment="1">
      <alignment horizontal="right" vertical="center" shrinkToFit="1"/>
    </xf>
    <xf numFmtId="0" fontId="56" fillId="0" borderId="128" xfId="0" applyFont="1" applyFill="1" applyBorder="1" applyAlignment="1">
      <alignment wrapText="1"/>
    </xf>
    <xf numFmtId="3" fontId="51" fillId="0" borderId="130" xfId="0" applyNumberFormat="1" applyFont="1" applyFill="1" applyBorder="1" applyAlignment="1">
      <alignment horizontal="right" vertical="center"/>
    </xf>
    <xf numFmtId="3" fontId="51" fillId="0" borderId="54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vertical="center" shrinkToFit="1"/>
    </xf>
    <xf numFmtId="0" fontId="46" fillId="0" borderId="27" xfId="0" applyFont="1" applyFill="1" applyBorder="1" applyAlignment="1">
      <alignment vertical="center" shrinkToFit="1"/>
    </xf>
    <xf numFmtId="0" fontId="3" fillId="0" borderId="131" xfId="0" applyFont="1" applyFill="1" applyBorder="1" applyAlignment="1">
      <alignment vertical="center" shrinkToFit="1"/>
    </xf>
    <xf numFmtId="0" fontId="3" fillId="0" borderId="132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47" fillId="0" borderId="27" xfId="0" applyFont="1" applyFill="1" applyBorder="1" applyAlignment="1">
      <alignment horizontal="right" vertical="center" shrinkToFit="1"/>
    </xf>
    <xf numFmtId="0" fontId="49" fillId="0" borderId="133" xfId="0" applyFont="1" applyFill="1" applyBorder="1" applyAlignment="1">
      <alignment horizontal="center" vertical="center"/>
    </xf>
    <xf numFmtId="0" fontId="49" fillId="0" borderId="134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vertical="center" shrinkToFit="1"/>
    </xf>
    <xf numFmtId="0" fontId="3" fillId="0" borderId="135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vertical="center" shrinkToFit="1"/>
    </xf>
    <xf numFmtId="0" fontId="50" fillId="0" borderId="59" xfId="0" applyFont="1" applyFill="1" applyBorder="1" applyAlignment="1">
      <alignment horizontal="center" vertical="center" shrinkToFit="1"/>
    </xf>
    <xf numFmtId="0" fontId="46" fillId="0" borderId="69" xfId="0" applyFont="1" applyFill="1" applyBorder="1" applyAlignment="1">
      <alignment vertical="center" shrinkToFit="1"/>
    </xf>
    <xf numFmtId="2" fontId="56" fillId="0" borderId="66" xfId="0" applyNumberFormat="1" applyFont="1" applyFill="1" applyBorder="1" applyAlignment="1">
      <alignment wrapText="1"/>
    </xf>
    <xf numFmtId="0" fontId="46" fillId="0" borderId="128" xfId="0" applyFont="1" applyFill="1" applyBorder="1" applyAlignment="1">
      <alignment vertical="center" shrinkToFit="1"/>
    </xf>
    <xf numFmtId="0" fontId="50" fillId="0" borderId="60" xfId="0" applyFont="1" applyFill="1" applyBorder="1" applyAlignment="1">
      <alignment horizontal="center" vertical="center" shrinkToFit="1"/>
    </xf>
    <xf numFmtId="0" fontId="46" fillId="0" borderId="136" xfId="0" applyFont="1" applyFill="1" applyBorder="1" applyAlignment="1">
      <alignment vertical="center" wrapText="1"/>
    </xf>
    <xf numFmtId="3" fontId="56" fillId="0" borderId="137" xfId="0" applyNumberFormat="1" applyFont="1" applyFill="1" applyBorder="1" applyAlignment="1">
      <alignment vertical="center" wrapText="1"/>
    </xf>
    <xf numFmtId="0" fontId="52" fillId="0" borderId="60" xfId="0" applyFont="1" applyFill="1" applyBorder="1" applyAlignment="1">
      <alignment horizontal="center" vertical="center" shrinkToFit="1"/>
    </xf>
    <xf numFmtId="3" fontId="57" fillId="0" borderId="137" xfId="0" applyNumberFormat="1" applyFont="1" applyFill="1" applyBorder="1" applyAlignment="1">
      <alignment horizontal="left" vertical="center" wrapText="1" indent="1"/>
    </xf>
    <xf numFmtId="3" fontId="54" fillId="0" borderId="126" xfId="0" applyNumberFormat="1" applyFont="1" applyFill="1" applyBorder="1" applyAlignment="1">
      <alignment horizontal="right" vertical="center" shrinkToFit="1"/>
    </xf>
    <xf numFmtId="3" fontId="55" fillId="0" borderId="38" xfId="0" applyNumberFormat="1" applyFont="1" applyFill="1" applyBorder="1" applyAlignment="1">
      <alignment horizontal="right" vertical="center" shrinkToFit="1"/>
    </xf>
    <xf numFmtId="3" fontId="57" fillId="0" borderId="66" xfId="0" applyNumberFormat="1" applyFont="1" applyFill="1" applyBorder="1" applyAlignment="1">
      <alignment horizontal="left" vertical="center" wrapText="1" indent="1"/>
    </xf>
    <xf numFmtId="0" fontId="46" fillId="0" borderId="138" xfId="0" applyFont="1" applyFill="1" applyBorder="1" applyAlignment="1">
      <alignment vertical="center" shrinkToFit="1"/>
    </xf>
    <xf numFmtId="3" fontId="5" fillId="0" borderId="139" xfId="0" applyNumberFormat="1" applyFont="1" applyFill="1" applyBorder="1" applyAlignment="1">
      <alignment horizontal="right" vertical="center" shrinkToFit="1"/>
    </xf>
    <xf numFmtId="3" fontId="56" fillId="0" borderId="138" xfId="0" applyNumberFormat="1" applyFont="1" applyFill="1" applyBorder="1" applyAlignment="1">
      <alignment horizontal="left" vertical="center" wrapText="1"/>
    </xf>
    <xf numFmtId="0" fontId="50" fillId="0" borderId="140" xfId="0" applyFont="1" applyFill="1" applyBorder="1" applyAlignment="1">
      <alignment horizontal="center" vertical="center" shrinkToFit="1"/>
    </xf>
    <xf numFmtId="0" fontId="46" fillId="0" borderId="141" xfId="0" applyFont="1" applyFill="1" applyBorder="1" applyAlignment="1">
      <alignment vertical="center" shrinkToFit="1"/>
    </xf>
    <xf numFmtId="3" fontId="5" fillId="0" borderId="135" xfId="0" applyNumberFormat="1" applyFont="1" applyFill="1" applyBorder="1" applyAlignment="1">
      <alignment horizontal="right" vertical="center" shrinkToFit="1"/>
    </xf>
    <xf numFmtId="3" fontId="51" fillId="0" borderId="56" xfId="0" applyNumberFormat="1" applyFont="1" applyFill="1" applyBorder="1" applyAlignment="1">
      <alignment horizontal="right" vertical="center" shrinkToFit="1"/>
    </xf>
    <xf numFmtId="3" fontId="51" fillId="0" borderId="142" xfId="0" applyNumberFormat="1" applyFont="1" applyFill="1" applyBorder="1" applyAlignment="1">
      <alignment horizontal="right" vertical="center" shrinkToFit="1"/>
    </xf>
    <xf numFmtId="3" fontId="51" fillId="0" borderId="65" xfId="0" applyNumberFormat="1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vertical="center" shrinkToFit="1"/>
    </xf>
    <xf numFmtId="3" fontId="21" fillId="0" borderId="27" xfId="69" applyNumberFormat="1" applyFont="1" applyFill="1" applyBorder="1" applyAlignment="1">
      <alignment horizontal="right" vertical="center"/>
      <protection/>
    </xf>
    <xf numFmtId="165" fontId="21" fillId="0" borderId="93" xfId="69" applyNumberFormat="1" applyFont="1" applyFill="1" applyBorder="1" applyAlignment="1">
      <alignment vertical="center"/>
      <protection/>
    </xf>
    <xf numFmtId="165" fontId="21" fillId="0" borderId="143" xfId="69" applyNumberFormat="1" applyFont="1" applyFill="1" applyBorder="1" applyAlignment="1">
      <alignment horizontal="right" vertical="center"/>
      <protection/>
    </xf>
    <xf numFmtId="165" fontId="41" fillId="0" borderId="143" xfId="69" applyNumberFormat="1" applyFont="1" applyFill="1" applyBorder="1" applyAlignment="1">
      <alignment horizontal="right" vertical="center"/>
      <protection/>
    </xf>
    <xf numFmtId="165" fontId="41" fillId="0" borderId="103" xfId="69" applyNumberFormat="1" applyFont="1" applyFill="1" applyBorder="1" applyAlignment="1">
      <alignment vertical="center"/>
      <protection/>
    </xf>
    <xf numFmtId="165" fontId="21" fillId="0" borderId="91" xfId="69" applyNumberFormat="1" applyFont="1" applyFill="1" applyBorder="1" applyAlignment="1">
      <alignment vertical="center"/>
      <protection/>
    </xf>
    <xf numFmtId="0" fontId="18" fillId="0" borderId="14" xfId="61" applyFont="1" applyBorder="1" applyAlignment="1">
      <alignment wrapText="1"/>
      <protection/>
    </xf>
    <xf numFmtId="0" fontId="18" fillId="0" borderId="13" xfId="61" applyFont="1" applyBorder="1">
      <alignment/>
      <protection/>
    </xf>
    <xf numFmtId="3" fontId="18" fillId="0" borderId="13" xfId="61" applyNumberFormat="1" applyFont="1" applyBorder="1">
      <alignment/>
      <protection/>
    </xf>
    <xf numFmtId="0" fontId="18" fillId="0" borderId="15" xfId="61" applyFont="1" applyBorder="1" applyAlignment="1">
      <alignment wrapText="1"/>
      <protection/>
    </xf>
    <xf numFmtId="0" fontId="18" fillId="0" borderId="17" xfId="61" applyFont="1" applyBorder="1" applyAlignment="1">
      <alignment wrapText="1"/>
      <protection/>
    </xf>
    <xf numFmtId="3" fontId="18" fillId="0" borderId="34" xfId="61" applyNumberFormat="1" applyFont="1" applyBorder="1">
      <alignment/>
      <protection/>
    </xf>
    <xf numFmtId="0" fontId="18" fillId="0" borderId="11" xfId="61" applyFont="1" applyBorder="1">
      <alignment/>
      <protection/>
    </xf>
    <xf numFmtId="0" fontId="18" fillId="0" borderId="11" xfId="61" applyFont="1" applyBorder="1" applyAlignment="1">
      <alignment wrapText="1"/>
      <protection/>
    </xf>
    <xf numFmtId="3" fontId="18" fillId="0" borderId="11" xfId="61" applyNumberFormat="1" applyFont="1" applyBorder="1">
      <alignment/>
      <protection/>
    </xf>
    <xf numFmtId="3" fontId="21" fillId="0" borderId="86" xfId="69" applyNumberFormat="1" applyFont="1" applyFill="1" applyBorder="1" applyAlignment="1">
      <alignment horizontal="center" vertical="center"/>
      <protection/>
    </xf>
    <xf numFmtId="3" fontId="22" fillId="0" borderId="56" xfId="0" applyNumberFormat="1" applyFont="1" applyFill="1" applyBorder="1" applyAlignment="1">
      <alignment horizontal="right" vertical="center" shrinkToFit="1"/>
    </xf>
    <xf numFmtId="3" fontId="22" fillId="0" borderId="77" xfId="0" applyNumberFormat="1" applyFont="1" applyFill="1" applyBorder="1" applyAlignment="1">
      <alignment horizontal="right" vertical="center" shrinkToFit="1"/>
    </xf>
    <xf numFmtId="3" fontId="24" fillId="0" borderId="122" xfId="0" applyNumberFormat="1" applyFont="1" applyFill="1" applyBorder="1" applyAlignment="1">
      <alignment horizontal="right" vertical="center" shrinkToFit="1"/>
    </xf>
    <xf numFmtId="3" fontId="24" fillId="0" borderId="39" xfId="0" applyNumberFormat="1" applyFont="1" applyFill="1" applyBorder="1" applyAlignment="1">
      <alignment horizontal="right" vertical="center" shrinkToFit="1"/>
    </xf>
    <xf numFmtId="3" fontId="22" fillId="0" borderId="56" xfId="0" applyNumberFormat="1" applyFont="1" applyFill="1" applyBorder="1" applyAlignment="1">
      <alignment horizontal="center" vertical="center" shrinkToFit="1"/>
    </xf>
    <xf numFmtId="3" fontId="21" fillId="0" borderId="144" xfId="0" applyNumberFormat="1" applyFont="1" applyFill="1" applyBorder="1" applyAlignment="1">
      <alignment horizontal="center" vertical="center"/>
    </xf>
    <xf numFmtId="3" fontId="21" fillId="0" borderId="15" xfId="69" applyNumberFormat="1" applyFont="1" applyFill="1" applyBorder="1" applyAlignment="1">
      <alignment horizontal="left" vertical="center"/>
      <protection/>
    </xf>
    <xf numFmtId="3" fontId="21" fillId="0" borderId="145" xfId="69" applyNumberFormat="1" applyFont="1" applyFill="1" applyBorder="1" applyAlignment="1">
      <alignment horizontal="center" vertical="center"/>
      <protection/>
    </xf>
    <xf numFmtId="1" fontId="20" fillId="0" borderId="146" xfId="69" applyNumberFormat="1" applyFont="1" applyFill="1" applyBorder="1" applyAlignment="1">
      <alignment horizontal="right" vertical="center"/>
      <protection/>
    </xf>
    <xf numFmtId="3" fontId="20" fillId="0" borderId="99" xfId="69" applyNumberFormat="1" applyFont="1" applyFill="1" applyBorder="1" applyAlignment="1" quotePrefix="1">
      <alignment horizontal="center" vertical="center"/>
      <protection/>
    </xf>
    <xf numFmtId="3" fontId="20" fillId="0" borderId="99" xfId="69" applyNumberFormat="1" applyFont="1" applyFill="1" applyBorder="1" applyAlignment="1">
      <alignment vertical="center"/>
      <protection/>
    </xf>
    <xf numFmtId="1" fontId="20" fillId="0" borderId="99" xfId="69" applyNumberFormat="1" applyFont="1" applyFill="1" applyBorder="1" applyAlignment="1">
      <alignment horizontal="right" vertical="center"/>
      <protection/>
    </xf>
    <xf numFmtId="165" fontId="41" fillId="0" borderId="100" xfId="69" applyNumberFormat="1" applyFont="1" applyFill="1" applyBorder="1" applyAlignment="1">
      <alignment horizontal="right" vertical="center"/>
      <protection/>
    </xf>
    <xf numFmtId="165" fontId="41" fillId="0" borderId="57" xfId="69" applyNumberFormat="1" applyFont="1" applyFill="1" applyBorder="1" applyAlignment="1">
      <alignment horizontal="right" vertical="center"/>
      <protection/>
    </xf>
    <xf numFmtId="165" fontId="41" fillId="0" borderId="50" xfId="69" applyNumberFormat="1" applyFont="1" applyFill="1" applyBorder="1" applyAlignment="1">
      <alignment vertical="center"/>
      <protection/>
    </xf>
    <xf numFmtId="165" fontId="41" fillId="0" borderId="94" xfId="69" applyNumberFormat="1" applyFont="1" applyFill="1" applyBorder="1" applyAlignment="1">
      <alignment vertical="center"/>
      <protection/>
    </xf>
    <xf numFmtId="3" fontId="24" fillId="0" borderId="70" xfId="0" applyNumberFormat="1" applyFont="1" applyFill="1" applyBorder="1" applyAlignment="1">
      <alignment horizontal="right" vertical="center" shrinkToFit="1"/>
    </xf>
    <xf numFmtId="3" fontId="22" fillId="0" borderId="39" xfId="0" applyNumberFormat="1" applyFont="1" applyFill="1" applyBorder="1" applyAlignment="1">
      <alignment horizontal="center" vertical="center" shrinkToFit="1"/>
    </xf>
    <xf numFmtId="3" fontId="22" fillId="0" borderId="13" xfId="0" applyNumberFormat="1" applyFont="1" applyFill="1" applyBorder="1" applyAlignment="1">
      <alignment horizontal="center" vertical="center" shrinkToFit="1"/>
    </xf>
    <xf numFmtId="3" fontId="22" fillId="0" borderId="31" xfId="0" applyNumberFormat="1" applyFont="1" applyFill="1" applyBorder="1" applyAlignment="1">
      <alignment horizontal="center" vertical="center" shrinkToFit="1"/>
    </xf>
    <xf numFmtId="3" fontId="22" fillId="0" borderId="11" xfId="0" applyNumberFormat="1" applyFont="1" applyFill="1" applyBorder="1" applyAlignment="1">
      <alignment horizontal="center" vertical="center" shrinkToFit="1"/>
    </xf>
    <xf numFmtId="0" fontId="20" fillId="0" borderId="101" xfId="0" applyFont="1" applyFill="1" applyBorder="1" applyAlignment="1">
      <alignment vertical="center" shrinkToFit="1"/>
    </xf>
    <xf numFmtId="0" fontId="20" fillId="0" borderId="102" xfId="0" applyFont="1" applyFill="1" applyBorder="1" applyAlignment="1">
      <alignment horizontal="center" vertical="center" shrinkToFit="1"/>
    </xf>
    <xf numFmtId="49" fontId="20" fillId="0" borderId="147" xfId="0" applyNumberFormat="1" applyFont="1" applyFill="1" applyBorder="1" applyAlignment="1">
      <alignment horizontal="justify" vertical="center" shrinkToFit="1"/>
    </xf>
    <xf numFmtId="3" fontId="20" fillId="0" borderId="86" xfId="0" applyNumberFormat="1" applyFont="1" applyFill="1" applyBorder="1" applyAlignment="1">
      <alignment horizontal="right" vertical="center" shrinkToFit="1"/>
    </xf>
    <xf numFmtId="3" fontId="24" fillId="0" borderId="86" xfId="0" applyNumberFormat="1" applyFont="1" applyFill="1" applyBorder="1" applyAlignment="1">
      <alignment vertical="center" shrinkToFit="1"/>
    </xf>
    <xf numFmtId="3" fontId="24" fillId="0" borderId="124" xfId="0" applyNumberFormat="1" applyFont="1" applyFill="1" applyBorder="1" applyAlignment="1">
      <alignment horizontal="right" vertical="center" shrinkToFit="1"/>
    </xf>
    <xf numFmtId="0" fontId="20" fillId="0" borderId="42" xfId="0" applyFont="1" applyFill="1" applyBorder="1" applyAlignment="1">
      <alignment vertical="center" shrinkToFit="1"/>
    </xf>
    <xf numFmtId="0" fontId="20" fillId="0" borderId="79" xfId="0" applyFont="1" applyFill="1" applyBorder="1" applyAlignment="1">
      <alignment horizontal="center" vertical="center" shrinkToFit="1"/>
    </xf>
    <xf numFmtId="49" fontId="20" fillId="0" borderId="14" xfId="0" applyNumberFormat="1" applyFont="1" applyFill="1" applyBorder="1" applyAlignment="1">
      <alignment horizontal="justify" vertical="center" shrinkToFit="1"/>
    </xf>
    <xf numFmtId="3" fontId="20" fillId="0" borderId="14" xfId="0" applyNumberFormat="1" applyFont="1" applyFill="1" applyBorder="1" applyAlignment="1">
      <alignment horizontal="right" vertical="center" shrinkToFit="1"/>
    </xf>
    <xf numFmtId="3" fontId="24" fillId="0" borderId="14" xfId="0" applyNumberFormat="1" applyFont="1" applyFill="1" applyBorder="1" applyAlignment="1">
      <alignment vertical="center" shrinkToFit="1"/>
    </xf>
    <xf numFmtId="3" fontId="24" fillId="0" borderId="57" xfId="0" applyNumberFormat="1" applyFont="1" applyFill="1" applyBorder="1" applyAlignment="1">
      <alignment horizontal="right" vertical="center" shrinkToFit="1"/>
    </xf>
    <xf numFmtId="3" fontId="21" fillId="0" borderId="56" xfId="0" applyNumberFormat="1" applyFont="1" applyFill="1" applyBorder="1" applyAlignment="1">
      <alignment horizontal="center" vertical="center" shrinkToFit="1"/>
    </xf>
    <xf numFmtId="3" fontId="21" fillId="0" borderId="38" xfId="0" applyNumberFormat="1" applyFont="1" applyFill="1" applyBorder="1" applyAlignment="1">
      <alignment horizontal="center" vertical="center" shrinkToFit="1"/>
    </xf>
    <xf numFmtId="3" fontId="21" fillId="0" borderId="39" xfId="0" applyNumberFormat="1" applyFont="1" applyFill="1" applyBorder="1" applyAlignment="1">
      <alignment horizontal="center" vertical="center" shrinkToFit="1"/>
    </xf>
    <xf numFmtId="3" fontId="21" fillId="0" borderId="81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34" fillId="0" borderId="10" xfId="0" applyNumberFormat="1" applyFont="1" applyFill="1" applyBorder="1" applyAlignment="1">
      <alignment vertical="center" wrapText="1"/>
    </xf>
    <xf numFmtId="3" fontId="39" fillId="0" borderId="70" xfId="0" applyNumberFormat="1" applyFont="1" applyFill="1" applyBorder="1" applyAlignment="1">
      <alignment horizontal="right" vertical="center" shrinkToFit="1"/>
    </xf>
    <xf numFmtId="3" fontId="34" fillId="0" borderId="11" xfId="0" applyNumberFormat="1" applyFont="1" applyFill="1" applyBorder="1" applyAlignment="1">
      <alignment horizontal="right" vertical="center" shrinkToFit="1"/>
    </xf>
    <xf numFmtId="49" fontId="34" fillId="0" borderId="148" xfId="0" applyNumberFormat="1" applyFont="1" applyFill="1" applyBorder="1" applyAlignment="1">
      <alignment horizontal="left" vertical="center" wrapText="1" indent="3"/>
    </xf>
    <xf numFmtId="3" fontId="34" fillId="0" borderId="148" xfId="0" applyNumberFormat="1" applyFont="1" applyFill="1" applyBorder="1" applyAlignment="1">
      <alignment horizontal="right" vertical="center" shrinkToFit="1"/>
    </xf>
    <xf numFmtId="3" fontId="39" fillId="0" borderId="149" xfId="0" applyNumberFormat="1" applyFont="1" applyFill="1" applyBorder="1" applyAlignment="1">
      <alignment horizontal="right" vertical="center" shrinkToFit="1"/>
    </xf>
    <xf numFmtId="3" fontId="18" fillId="0" borderId="17" xfId="61" applyNumberFormat="1" applyFont="1" applyBorder="1" applyAlignment="1">
      <alignment horizontal="right"/>
      <protection/>
    </xf>
    <xf numFmtId="3" fontId="20" fillId="0" borderId="68" xfId="69" applyNumberFormat="1" applyFont="1" applyFill="1" applyBorder="1" applyAlignment="1">
      <alignment horizontal="left" vertical="center"/>
      <protection/>
    </xf>
    <xf numFmtId="3" fontId="20" fillId="0" borderId="10" xfId="69" applyNumberFormat="1" applyFont="1" applyFill="1" applyBorder="1" applyAlignment="1">
      <alignment horizontal="left" vertical="center"/>
      <protection/>
    </xf>
    <xf numFmtId="3" fontId="20" fillId="0" borderId="56" xfId="0" applyNumberFormat="1" applyFont="1" applyFill="1" applyBorder="1" applyAlignment="1">
      <alignment horizontal="right" vertical="center"/>
    </xf>
    <xf numFmtId="3" fontId="20" fillId="0" borderId="39" xfId="0" applyNumberFormat="1" applyFont="1" applyFill="1" applyBorder="1" applyAlignment="1">
      <alignment horizontal="right" vertical="center"/>
    </xf>
    <xf numFmtId="3" fontId="20" fillId="0" borderId="12" xfId="69" applyNumberFormat="1" applyFont="1" applyFill="1" applyBorder="1" applyAlignment="1">
      <alignment horizontal="left" vertical="center"/>
      <protection/>
    </xf>
    <xf numFmtId="3" fontId="43" fillId="0" borderId="63" xfId="0" applyNumberFormat="1" applyFont="1" applyFill="1" applyBorder="1" applyAlignment="1">
      <alignment horizontal="right" vertical="center"/>
    </xf>
    <xf numFmtId="3" fontId="21" fillId="0" borderId="144" xfId="0" applyNumberFormat="1" applyFont="1" applyFill="1" applyBorder="1" applyAlignment="1">
      <alignment vertical="center"/>
    </xf>
    <xf numFmtId="3" fontId="21" fillId="0" borderId="144" xfId="0" applyNumberFormat="1" applyFont="1" applyFill="1" applyBorder="1" applyAlignment="1">
      <alignment horizontal="right" vertical="center"/>
    </xf>
    <xf numFmtId="3" fontId="43" fillId="0" borderId="144" xfId="0" applyNumberFormat="1" applyFont="1" applyFill="1" applyBorder="1" applyAlignment="1">
      <alignment horizontal="right" vertical="center"/>
    </xf>
    <xf numFmtId="3" fontId="20" fillId="0" borderId="66" xfId="69" applyNumberFormat="1" applyFont="1" applyFill="1" applyBorder="1" applyAlignment="1" quotePrefix="1">
      <alignment horizontal="center" vertical="center"/>
      <protection/>
    </xf>
    <xf numFmtId="3" fontId="20" fillId="0" borderId="66" xfId="69" applyNumberFormat="1" applyFont="1" applyFill="1" applyBorder="1" applyAlignment="1">
      <alignment horizontal="left" vertical="center"/>
      <protection/>
    </xf>
    <xf numFmtId="4" fontId="20" fillId="0" borderId="0" xfId="69" applyNumberFormat="1" applyFont="1" applyFill="1" applyAlignment="1">
      <alignment vertical="center"/>
      <protection/>
    </xf>
    <xf numFmtId="3" fontId="41" fillId="0" borderId="46" xfId="0" applyNumberFormat="1" applyFont="1" applyFill="1" applyBorder="1" applyAlignment="1">
      <alignment horizontal="right" vertical="center"/>
    </xf>
    <xf numFmtId="3" fontId="41" fillId="0" borderId="50" xfId="0" applyNumberFormat="1" applyFont="1" applyFill="1" applyBorder="1" applyAlignment="1">
      <alignment horizontal="right" vertical="center"/>
    </xf>
    <xf numFmtId="3" fontId="43" fillId="0" borderId="41" xfId="0" applyNumberFormat="1" applyFont="1" applyFill="1" applyBorder="1" applyAlignment="1">
      <alignment horizontal="right" vertical="center"/>
    </xf>
    <xf numFmtId="3" fontId="21" fillId="0" borderId="91" xfId="0" applyNumberFormat="1" applyFont="1" applyFill="1" applyBorder="1" applyAlignment="1">
      <alignment horizontal="right" vertical="center"/>
    </xf>
    <xf numFmtId="3" fontId="21" fillId="0" borderId="15" xfId="69" applyNumberFormat="1" applyFont="1" applyFill="1" applyBorder="1" applyAlignment="1">
      <alignment vertical="center" shrinkToFit="1"/>
      <protection/>
    </xf>
    <xf numFmtId="1" fontId="20" fillId="0" borderId="115" xfId="69" applyNumberFormat="1" applyFont="1" applyFill="1" applyBorder="1" applyAlignment="1">
      <alignment horizontal="right" vertical="center"/>
      <protection/>
    </xf>
    <xf numFmtId="3" fontId="21" fillId="0" borderId="94" xfId="0" applyNumberFormat="1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49" fontId="34" fillId="0" borderId="11" xfId="0" applyNumberFormat="1" applyFont="1" applyFill="1" applyBorder="1" applyAlignment="1">
      <alignment horizontal="left" vertical="center" wrapText="1" indent="3"/>
    </xf>
    <xf numFmtId="3" fontId="39" fillId="0" borderId="56" xfId="0" applyNumberFormat="1" applyFont="1" applyFill="1" applyBorder="1" applyAlignment="1">
      <alignment horizontal="right" vertical="center" shrinkToFit="1"/>
    </xf>
    <xf numFmtId="49" fontId="34" fillId="0" borderId="150" xfId="0" applyNumberFormat="1" applyFont="1" applyFill="1" applyBorder="1" applyAlignment="1">
      <alignment horizontal="left" vertical="center" wrapText="1" indent="3"/>
    </xf>
    <xf numFmtId="3" fontId="34" fillId="0" borderId="150" xfId="0" applyNumberFormat="1" applyFont="1" applyFill="1" applyBorder="1" applyAlignment="1">
      <alignment horizontal="right" vertical="center" shrinkToFit="1"/>
    </xf>
    <xf numFmtId="3" fontId="39" fillId="0" borderId="151" xfId="0" applyNumberFormat="1" applyFont="1" applyFill="1" applyBorder="1" applyAlignment="1">
      <alignment horizontal="right" vertical="center" shrinkToFit="1"/>
    </xf>
    <xf numFmtId="3" fontId="20" fillId="0" borderId="18" xfId="0" applyNumberFormat="1" applyFont="1" applyFill="1" applyBorder="1" applyAlignment="1">
      <alignment horizontal="left" vertical="center"/>
    </xf>
    <xf numFmtId="3" fontId="20" fillId="0" borderId="18" xfId="0" applyNumberFormat="1" applyFont="1" applyFill="1" applyBorder="1" applyAlignment="1">
      <alignment horizontal="right" vertical="center"/>
    </xf>
    <xf numFmtId="10" fontId="20" fillId="0" borderId="0" xfId="69" applyNumberFormat="1" applyFont="1" applyFill="1" applyAlignment="1">
      <alignment vertical="center"/>
      <protection/>
    </xf>
    <xf numFmtId="9" fontId="20" fillId="0" borderId="16" xfId="69" applyNumberFormat="1" applyFont="1" applyFill="1" applyBorder="1" applyAlignment="1">
      <alignment horizontal="right" vertical="center"/>
      <protection/>
    </xf>
    <xf numFmtId="3" fontId="15" fillId="0" borderId="0" xfId="0" applyNumberFormat="1" applyFont="1" applyFill="1" applyBorder="1" applyAlignment="1">
      <alignment vertical="center" shrinkToFit="1"/>
    </xf>
    <xf numFmtId="3" fontId="21" fillId="0" borderId="152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 quotePrefix="1">
      <alignment horizontal="center" vertical="center" shrinkToFit="1"/>
    </xf>
    <xf numFmtId="3" fontId="20" fillId="0" borderId="56" xfId="0" applyNumberFormat="1" applyFont="1" applyFill="1" applyBorder="1" applyAlignment="1">
      <alignment horizontal="right" vertical="center" shrinkToFit="1"/>
    </xf>
    <xf numFmtId="3" fontId="20" fillId="0" borderId="39" xfId="0" applyNumberFormat="1" applyFont="1" applyFill="1" applyBorder="1" applyAlignment="1">
      <alignment horizontal="right" vertical="center" shrinkToFit="1"/>
    </xf>
    <xf numFmtId="3" fontId="24" fillId="0" borderId="18" xfId="0" applyNumberFormat="1" applyFont="1" applyFill="1" applyBorder="1" applyAlignment="1">
      <alignment vertical="center" shrinkToFit="1"/>
    </xf>
    <xf numFmtId="3" fontId="24" fillId="0" borderId="77" xfId="0" applyNumberFormat="1" applyFont="1" applyFill="1" applyBorder="1" applyAlignment="1">
      <alignment horizontal="right" vertical="center" shrinkToFit="1"/>
    </xf>
    <xf numFmtId="3" fontId="20" fillId="0" borderId="82" xfId="69" applyNumberFormat="1" applyFont="1" applyFill="1" applyBorder="1" applyAlignment="1">
      <alignment horizontal="left" vertical="center"/>
      <protection/>
    </xf>
    <xf numFmtId="3" fontId="20" fillId="0" borderId="12" xfId="69" applyNumberFormat="1" applyFont="1" applyFill="1" applyBorder="1" applyAlignment="1">
      <alignment horizontal="left" vertical="center" wrapText="1"/>
      <protection/>
    </xf>
    <xf numFmtId="3" fontId="21" fillId="0" borderId="153" xfId="0" applyNumberFormat="1" applyFont="1" applyFill="1" applyBorder="1" applyAlignment="1">
      <alignment horizontal="right" vertical="center"/>
    </xf>
    <xf numFmtId="3" fontId="20" fillId="0" borderId="68" xfId="69" applyNumberFormat="1" applyFont="1" applyFill="1" applyBorder="1" applyAlignment="1">
      <alignment horizontal="left" vertical="center" wrapText="1"/>
      <protection/>
    </xf>
    <xf numFmtId="3" fontId="21" fillId="0" borderId="152" xfId="0" applyNumberFormat="1" applyFont="1" applyFill="1" applyBorder="1" applyAlignment="1">
      <alignment vertical="center"/>
    </xf>
    <xf numFmtId="0" fontId="63" fillId="0" borderId="0" xfId="67" applyFont="1">
      <alignment/>
      <protection/>
    </xf>
    <xf numFmtId="0" fontId="58" fillId="0" borderId="0" xfId="67" applyFont="1" applyAlignment="1">
      <alignment horizontal="right"/>
      <protection/>
    </xf>
    <xf numFmtId="0" fontId="58" fillId="0" borderId="0" xfId="67" applyFont="1">
      <alignment/>
      <protection/>
    </xf>
    <xf numFmtId="0" fontId="62" fillId="0" borderId="0" xfId="67">
      <alignment/>
      <protection/>
    </xf>
    <xf numFmtId="0" fontId="59" fillId="0" borderId="0" xfId="67" applyFont="1">
      <alignment/>
      <protection/>
    </xf>
    <xf numFmtId="0" fontId="58" fillId="0" borderId="154" xfId="67" applyFont="1" applyBorder="1" applyAlignment="1">
      <alignment horizontal="right" wrapText="1"/>
      <protection/>
    </xf>
    <xf numFmtId="0" fontId="59" fillId="0" borderId="113" xfId="67" applyFont="1" applyBorder="1" applyAlignment="1">
      <alignment horizontal="center" wrapText="1"/>
      <protection/>
    </xf>
    <xf numFmtId="0" fontId="59" fillId="0" borderId="106" xfId="67" applyFont="1" applyBorder="1" applyAlignment="1">
      <alignment horizontal="center" wrapText="1"/>
      <protection/>
    </xf>
    <xf numFmtId="0" fontId="59" fillId="0" borderId="15" xfId="67" applyFont="1" applyBorder="1" applyAlignment="1">
      <alignment horizontal="center" wrapText="1"/>
      <protection/>
    </xf>
    <xf numFmtId="0" fontId="59" fillId="0" borderId="103" xfId="67" applyFont="1" applyBorder="1" applyAlignment="1">
      <alignment horizontal="center" wrapText="1"/>
      <protection/>
    </xf>
    <xf numFmtId="0" fontId="58" fillId="0" borderId="155" xfId="67" applyFont="1" applyBorder="1" applyAlignment="1">
      <alignment horizontal="right"/>
      <protection/>
    </xf>
    <xf numFmtId="0" fontId="58" fillId="0" borderId="96" xfId="67" applyFont="1" applyBorder="1">
      <alignment/>
      <protection/>
    </xf>
    <xf numFmtId="0" fontId="58" fillId="0" borderId="89" xfId="67" applyFont="1" applyBorder="1" applyAlignment="1">
      <alignment wrapText="1"/>
      <protection/>
    </xf>
    <xf numFmtId="3" fontId="58" fillId="0" borderId="16" xfId="67" applyNumberFormat="1" applyFont="1" applyBorder="1">
      <alignment/>
      <protection/>
    </xf>
    <xf numFmtId="3" fontId="58" fillId="0" borderId="97" xfId="67" applyNumberFormat="1" applyFont="1" applyBorder="1">
      <alignment/>
      <protection/>
    </xf>
    <xf numFmtId="3" fontId="59" fillId="0" borderId="156" xfId="67" applyNumberFormat="1" applyFont="1" applyBorder="1">
      <alignment/>
      <protection/>
    </xf>
    <xf numFmtId="0" fontId="58" fillId="0" borderId="89" xfId="67" applyFont="1" applyBorder="1">
      <alignment/>
      <protection/>
    </xf>
    <xf numFmtId="3" fontId="59" fillId="0" borderId="22" xfId="67" applyNumberFormat="1" applyFont="1" applyBorder="1" applyAlignment="1">
      <alignment vertical="center"/>
      <protection/>
    </xf>
    <xf numFmtId="3" fontId="59" fillId="0" borderId="111" xfId="67" applyNumberFormat="1" applyFont="1" applyBorder="1" applyAlignment="1">
      <alignment vertical="center"/>
      <protection/>
    </xf>
    <xf numFmtId="0" fontId="58" fillId="0" borderId="27" xfId="67" applyFont="1" applyBorder="1">
      <alignment/>
      <protection/>
    </xf>
    <xf numFmtId="0" fontId="58" fillId="0" borderId="157" xfId="67" applyFont="1" applyBorder="1">
      <alignment/>
      <protection/>
    </xf>
    <xf numFmtId="3" fontId="58" fillId="0" borderId="157" xfId="67" applyNumberFormat="1" applyFont="1" applyBorder="1">
      <alignment/>
      <protection/>
    </xf>
    <xf numFmtId="0" fontId="58" fillId="0" borderId="154" xfId="67" applyFont="1" applyBorder="1" applyAlignment="1">
      <alignment horizontal="right"/>
      <protection/>
    </xf>
    <xf numFmtId="0" fontId="58" fillId="0" borderId="154" xfId="67" applyFont="1" applyBorder="1">
      <alignment/>
      <protection/>
    </xf>
    <xf numFmtId="3" fontId="58" fillId="0" borderId="15" xfId="67" applyNumberFormat="1" applyFont="1" applyBorder="1">
      <alignment/>
      <protection/>
    </xf>
    <xf numFmtId="3" fontId="58" fillId="0" borderId="15" xfId="67" applyNumberFormat="1" applyFont="1" applyBorder="1" applyAlignment="1">
      <alignment horizontal="right"/>
      <protection/>
    </xf>
    <xf numFmtId="3" fontId="58" fillId="0" borderId="15" xfId="67" applyNumberFormat="1" applyFont="1" applyFill="1" applyBorder="1">
      <alignment/>
      <protection/>
    </xf>
    <xf numFmtId="3" fontId="58" fillId="0" borderId="109" xfId="67" applyNumberFormat="1" applyFont="1" applyFill="1" applyBorder="1">
      <alignment/>
      <protection/>
    </xf>
    <xf numFmtId="3" fontId="59" fillId="0" borderId="158" xfId="67" applyNumberFormat="1" applyFont="1" applyFill="1" applyBorder="1">
      <alignment/>
      <protection/>
    </xf>
    <xf numFmtId="3" fontId="58" fillId="0" borderId="16" xfId="67" applyNumberFormat="1" applyFont="1" applyBorder="1" applyAlignment="1">
      <alignment horizontal="right"/>
      <protection/>
    </xf>
    <xf numFmtId="3" fontId="58" fillId="0" borderId="16" xfId="67" applyNumberFormat="1" applyFont="1" applyFill="1" applyBorder="1">
      <alignment/>
      <protection/>
    </xf>
    <xf numFmtId="3" fontId="59" fillId="0" borderId="156" xfId="67" applyNumberFormat="1" applyFont="1" applyFill="1" applyBorder="1">
      <alignment/>
      <protection/>
    </xf>
    <xf numFmtId="0" fontId="60" fillId="0" borderId="0" xfId="0" applyFont="1" applyAlignment="1">
      <alignment/>
    </xf>
    <xf numFmtId="3" fontId="58" fillId="0" borderId="0" xfId="67" applyNumberFormat="1" applyFont="1">
      <alignment/>
      <protection/>
    </xf>
    <xf numFmtId="0" fontId="62" fillId="0" borderId="0" xfId="67" applyFont="1">
      <alignment/>
      <protection/>
    </xf>
    <xf numFmtId="0" fontId="65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wrapText="1"/>
    </xf>
    <xf numFmtId="3" fontId="65" fillId="0" borderId="16" xfId="0" applyNumberFormat="1" applyFont="1" applyBorder="1" applyAlignment="1">
      <alignment horizontal="right"/>
    </xf>
    <xf numFmtId="3" fontId="65" fillId="0" borderId="112" xfId="0" applyNumberFormat="1" applyFont="1" applyBorder="1" applyAlignment="1">
      <alignment horizontal="right"/>
    </xf>
    <xf numFmtId="3" fontId="23" fillId="0" borderId="155" xfId="0" applyNumberFormat="1" applyFont="1" applyBorder="1" applyAlignment="1">
      <alignment horizontal="right"/>
    </xf>
    <xf numFmtId="0" fontId="66" fillId="0" borderId="0" xfId="67" applyFont="1">
      <alignment/>
      <protection/>
    </xf>
    <xf numFmtId="3" fontId="23" fillId="0" borderId="11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3" fillId="0" borderId="159" xfId="0" applyNumberFormat="1" applyFont="1" applyBorder="1" applyAlignment="1">
      <alignment horizontal="right"/>
    </xf>
    <xf numFmtId="0" fontId="67" fillId="0" borderId="0" xfId="67" applyFont="1">
      <alignment/>
      <protection/>
    </xf>
    <xf numFmtId="0" fontId="65" fillId="0" borderId="117" xfId="0" applyFont="1" applyBorder="1" applyAlignment="1">
      <alignment vertical="center"/>
    </xf>
    <xf numFmtId="3" fontId="65" fillId="0" borderId="22" xfId="0" applyNumberFormat="1" applyFont="1" applyBorder="1" applyAlignment="1">
      <alignment vertical="center"/>
    </xf>
    <xf numFmtId="3" fontId="65" fillId="0" borderId="160" xfId="0" applyNumberFormat="1" applyFont="1" applyBorder="1" applyAlignment="1">
      <alignment horizontal="right" vertical="center"/>
    </xf>
    <xf numFmtId="3" fontId="65" fillId="0" borderId="20" xfId="0" applyNumberFormat="1" applyFont="1" applyBorder="1" applyAlignment="1">
      <alignment vertical="center"/>
    </xf>
    <xf numFmtId="3" fontId="23" fillId="0" borderId="121" xfId="0" applyNumberFormat="1" applyFont="1" applyBorder="1" applyAlignment="1">
      <alignment horizontal="right" vertical="center"/>
    </xf>
    <xf numFmtId="0" fontId="62" fillId="0" borderId="0" xfId="67" applyAlignment="1">
      <alignment horizontal="right"/>
      <protection/>
    </xf>
    <xf numFmtId="3" fontId="14" fillId="0" borderId="0" xfId="69" applyNumberFormat="1" applyFont="1" applyFill="1" applyAlignment="1">
      <alignment horizontal="center" vertical="center"/>
      <protection/>
    </xf>
    <xf numFmtId="3" fontId="70" fillId="0" borderId="0" xfId="69" applyNumberFormat="1" applyFont="1" applyFill="1" applyAlignment="1">
      <alignment vertical="center"/>
      <protection/>
    </xf>
    <xf numFmtId="3" fontId="68" fillId="0" borderId="0" xfId="69" applyNumberFormat="1" applyFont="1" applyFill="1" applyAlignment="1">
      <alignment vertical="center"/>
      <protection/>
    </xf>
    <xf numFmtId="3" fontId="65" fillId="0" borderId="0" xfId="69" applyNumberFormat="1" applyFont="1" applyFill="1" applyAlignment="1">
      <alignment vertical="center"/>
      <protection/>
    </xf>
    <xf numFmtId="3" fontId="68" fillId="0" borderId="13" xfId="69" applyNumberFormat="1" applyFont="1" applyFill="1" applyBorder="1" applyAlignment="1">
      <alignment horizontal="center" vertical="center"/>
      <protection/>
    </xf>
    <xf numFmtId="3" fontId="68" fillId="0" borderId="13" xfId="69" applyNumberFormat="1" applyFont="1" applyFill="1" applyBorder="1" applyAlignment="1">
      <alignment horizontal="center" vertical="center" wrapText="1"/>
      <protection/>
    </xf>
    <xf numFmtId="3" fontId="68" fillId="0" borderId="95" xfId="69" applyNumberFormat="1" applyFont="1" applyFill="1" applyBorder="1" applyAlignment="1">
      <alignment horizontal="center" vertical="center"/>
      <protection/>
    </xf>
    <xf numFmtId="3" fontId="69" fillId="0" borderId="0" xfId="69" applyNumberFormat="1" applyFont="1" applyFill="1" applyBorder="1" applyAlignment="1">
      <alignment horizontal="center" vertical="center"/>
      <protection/>
    </xf>
    <xf numFmtId="3" fontId="68" fillId="0" borderId="11" xfId="69" applyNumberFormat="1" applyFont="1" applyFill="1" applyBorder="1" applyAlignment="1">
      <alignment horizontal="center" vertical="center"/>
      <protection/>
    </xf>
    <xf numFmtId="3" fontId="68" fillId="0" borderId="50" xfId="69" applyNumberFormat="1" applyFont="1" applyFill="1" applyBorder="1" applyAlignment="1">
      <alignment horizontal="center" vertical="center"/>
      <protection/>
    </xf>
    <xf numFmtId="3" fontId="68" fillId="0" borderId="20" xfId="69" applyNumberFormat="1" applyFont="1" applyFill="1" applyBorder="1" applyAlignment="1">
      <alignment horizontal="center" vertical="center"/>
      <protection/>
    </xf>
    <xf numFmtId="3" fontId="68" fillId="0" borderId="91" xfId="69" applyNumberFormat="1" applyFont="1" applyFill="1" applyBorder="1" applyAlignment="1">
      <alignment horizontal="center" vertical="center"/>
      <protection/>
    </xf>
    <xf numFmtId="3" fontId="69" fillId="0" borderId="92" xfId="69" applyNumberFormat="1" applyFont="1" applyFill="1" applyBorder="1" applyAlignment="1">
      <alignment horizontal="center" vertical="center"/>
      <protection/>
    </xf>
    <xf numFmtId="3" fontId="70" fillId="0" borderId="86" xfId="69" applyNumberFormat="1" applyFont="1" applyFill="1" applyBorder="1" applyAlignment="1">
      <alignment horizontal="left" vertical="center" indent="1"/>
      <protection/>
    </xf>
    <xf numFmtId="3" fontId="70" fillId="0" borderId="86" xfId="69" applyNumberFormat="1" applyFont="1" applyFill="1" applyBorder="1" applyAlignment="1">
      <alignment vertical="center"/>
      <protection/>
    </xf>
    <xf numFmtId="3" fontId="70" fillId="0" borderId="86" xfId="69" applyNumberFormat="1" applyFont="1" applyFill="1" applyBorder="1" applyAlignment="1">
      <alignment horizontal="right" vertical="center"/>
      <protection/>
    </xf>
    <xf numFmtId="3" fontId="68" fillId="0" borderId="16" xfId="69" applyNumberFormat="1" applyFont="1" applyFill="1" applyBorder="1" applyAlignment="1">
      <alignment horizontal="right" vertical="center"/>
      <protection/>
    </xf>
    <xf numFmtId="3" fontId="68" fillId="0" borderId="93" xfId="69" applyNumberFormat="1" applyFont="1" applyFill="1" applyBorder="1" applyAlignment="1">
      <alignment vertical="center"/>
      <protection/>
    </xf>
    <xf numFmtId="3" fontId="69" fillId="0" borderId="89" xfId="0" applyNumberFormat="1" applyFont="1" applyFill="1" applyBorder="1" applyAlignment="1">
      <alignment horizontal="center" vertical="center"/>
    </xf>
    <xf numFmtId="3" fontId="68" fillId="0" borderId="16" xfId="0" applyNumberFormat="1" applyFont="1" applyFill="1" applyBorder="1" applyAlignment="1">
      <alignment horizontal="left" vertical="center" wrapText="1" indent="1"/>
    </xf>
    <xf numFmtId="3" fontId="70" fillId="0" borderId="16" xfId="69" applyNumberFormat="1" applyFont="1" applyFill="1" applyBorder="1" applyAlignment="1">
      <alignment horizontal="right" vertical="center"/>
      <protection/>
    </xf>
    <xf numFmtId="3" fontId="68" fillId="0" borderId="94" xfId="69" applyNumberFormat="1" applyFont="1" applyFill="1" applyBorder="1" applyAlignment="1">
      <alignment vertical="center"/>
      <protection/>
    </xf>
    <xf numFmtId="3" fontId="70" fillId="0" borderId="16" xfId="69" applyNumberFormat="1" applyFont="1" applyFill="1" applyBorder="1" applyAlignment="1">
      <alignment vertical="center"/>
      <protection/>
    </xf>
    <xf numFmtId="3" fontId="68" fillId="0" borderId="22" xfId="69" applyNumberFormat="1" applyFont="1" applyFill="1" applyBorder="1" applyAlignment="1">
      <alignment horizontal="right" vertical="center"/>
      <protection/>
    </xf>
    <xf numFmtId="3" fontId="68" fillId="0" borderId="15" xfId="69" applyNumberFormat="1" applyFont="1" applyFill="1" applyBorder="1" applyAlignment="1">
      <alignment horizontal="right" vertical="center"/>
      <protection/>
    </xf>
    <xf numFmtId="3" fontId="68" fillId="0" borderId="111" xfId="69" applyNumberFormat="1" applyFont="1" applyFill="1" applyBorder="1" applyAlignment="1">
      <alignment horizontal="right" vertical="center"/>
      <protection/>
    </xf>
    <xf numFmtId="3" fontId="69" fillId="0" borderId="83" xfId="69" applyNumberFormat="1" applyFont="1" applyFill="1" applyBorder="1" applyAlignment="1">
      <alignment horizontal="center" vertical="center"/>
      <protection/>
    </xf>
    <xf numFmtId="3" fontId="69" fillId="0" borderId="13" xfId="69" applyNumberFormat="1" applyFont="1" applyFill="1" applyBorder="1" applyAlignment="1">
      <alignment horizontal="left" vertical="center"/>
      <protection/>
    </xf>
    <xf numFmtId="3" fontId="68" fillId="0" borderId="13" xfId="69" applyNumberFormat="1" applyFont="1" applyFill="1" applyBorder="1" applyAlignment="1">
      <alignment horizontal="right" vertical="center"/>
      <protection/>
    </xf>
    <xf numFmtId="3" fontId="68" fillId="0" borderId="95" xfId="69" applyNumberFormat="1" applyFont="1" applyFill="1" applyBorder="1" applyAlignment="1">
      <alignment horizontal="right" vertical="center"/>
      <protection/>
    </xf>
    <xf numFmtId="3" fontId="71" fillId="0" borderId="89" xfId="69" applyNumberFormat="1" applyFont="1" applyFill="1" applyBorder="1" applyAlignment="1">
      <alignment horizontal="left" vertical="center"/>
      <protection/>
    </xf>
    <xf numFmtId="3" fontId="71" fillId="0" borderId="16" xfId="69" applyNumberFormat="1" applyFont="1" applyFill="1" applyBorder="1" applyAlignment="1">
      <alignment horizontal="center" vertical="center"/>
      <protection/>
    </xf>
    <xf numFmtId="3" fontId="71" fillId="0" borderId="16" xfId="69" applyNumberFormat="1" applyFont="1" applyFill="1" applyBorder="1" applyAlignment="1">
      <alignment horizontal="left" vertical="center" indent="1"/>
      <protection/>
    </xf>
    <xf numFmtId="3" fontId="68" fillId="0" borderId="94" xfId="69" applyNumberFormat="1" applyFont="1" applyFill="1" applyBorder="1" applyAlignment="1">
      <alignment horizontal="right" vertical="center"/>
      <protection/>
    </xf>
    <xf numFmtId="3" fontId="71" fillId="0" borderId="98" xfId="69" applyNumberFormat="1" applyFont="1" applyFill="1" applyBorder="1" applyAlignment="1">
      <alignment horizontal="left" vertical="center"/>
      <protection/>
    </xf>
    <xf numFmtId="3" fontId="70" fillId="0" borderId="17" xfId="69" applyNumberFormat="1" applyFont="1" applyFill="1" applyBorder="1" applyAlignment="1">
      <alignment horizontal="right" vertical="center"/>
      <protection/>
    </xf>
    <xf numFmtId="3" fontId="68" fillId="0" borderId="17" xfId="69" applyNumberFormat="1" applyFont="1" applyFill="1" applyBorder="1" applyAlignment="1">
      <alignment horizontal="right" vertical="center"/>
      <protection/>
    </xf>
    <xf numFmtId="3" fontId="68" fillId="0" borderId="100" xfId="69" applyNumberFormat="1" applyFont="1" applyFill="1" applyBorder="1" applyAlignment="1">
      <alignment horizontal="right" vertical="center"/>
      <protection/>
    </xf>
    <xf numFmtId="3" fontId="69" fillId="0" borderId="13" xfId="69" applyNumberFormat="1" applyFont="1" applyFill="1" applyBorder="1" applyAlignment="1">
      <alignment horizontal="center" vertical="center"/>
      <protection/>
    </xf>
    <xf numFmtId="3" fontId="68" fillId="0" borderId="13" xfId="69" applyNumberFormat="1" applyFont="1" applyFill="1" applyBorder="1" applyAlignment="1">
      <alignment vertical="center"/>
      <protection/>
    </xf>
    <xf numFmtId="3" fontId="68" fillId="0" borderId="95" xfId="69" applyNumberFormat="1" applyFont="1" applyFill="1" applyBorder="1" applyAlignment="1">
      <alignment vertical="center"/>
      <protection/>
    </xf>
    <xf numFmtId="3" fontId="69" fillId="0" borderId="89" xfId="69" applyNumberFormat="1" applyFont="1" applyFill="1" applyBorder="1" applyAlignment="1">
      <alignment horizontal="center" vertical="center"/>
      <protection/>
    </xf>
    <xf numFmtId="3" fontId="70" fillId="0" borderId="16" xfId="69" applyNumberFormat="1" applyFont="1" applyFill="1" applyBorder="1" applyAlignment="1">
      <alignment horizontal="left" vertical="center" indent="1"/>
      <protection/>
    </xf>
    <xf numFmtId="1" fontId="71" fillId="0" borderId="16" xfId="69" applyNumberFormat="1" applyFont="1" applyFill="1" applyBorder="1" applyAlignment="1">
      <alignment horizontal="center" vertical="center"/>
      <protection/>
    </xf>
    <xf numFmtId="3" fontId="71" fillId="0" borderId="89" xfId="69" applyNumberFormat="1" applyFont="1" applyFill="1" applyBorder="1" applyAlignment="1">
      <alignment horizontal="center" vertical="center"/>
      <protection/>
    </xf>
    <xf numFmtId="3" fontId="70" fillId="0" borderId="16" xfId="69" applyNumberFormat="1" applyFont="1" applyFill="1" applyBorder="1" applyAlignment="1">
      <alignment horizontal="left" vertical="center" wrapText="1" indent="1"/>
      <protection/>
    </xf>
    <xf numFmtId="0" fontId="10" fillId="0" borderId="0" xfId="57" applyFont="1" applyFill="1" applyAlignment="1">
      <alignment/>
      <protection/>
    </xf>
    <xf numFmtId="0" fontId="72" fillId="0" borderId="0" xfId="57" applyFont="1" applyFill="1" applyAlignment="1">
      <alignment horizontal="right"/>
      <protection/>
    </xf>
    <xf numFmtId="0" fontId="10" fillId="0" borderId="83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0" fillId="0" borderId="84" xfId="57" applyFont="1" applyFill="1" applyBorder="1" applyAlignment="1">
      <alignment vertical="center"/>
      <protection/>
    </xf>
    <xf numFmtId="0" fontId="10" fillId="0" borderId="45" xfId="57" applyFont="1" applyFill="1" applyBorder="1" applyAlignment="1">
      <alignment/>
      <protection/>
    </xf>
    <xf numFmtId="0" fontId="10" fillId="0" borderId="68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13" xfId="57" applyFont="1" applyFill="1" applyBorder="1" applyAlignment="1">
      <alignment horizontal="center"/>
      <protection/>
    </xf>
    <xf numFmtId="0" fontId="73" fillId="0" borderId="56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/>
      <protection/>
    </xf>
    <xf numFmtId="0" fontId="11" fillId="0" borderId="45" xfId="57" applyFont="1" applyFill="1" applyBorder="1" applyAlignment="1">
      <alignment horizontal="left" vertical="center"/>
      <protection/>
    </xf>
    <xf numFmtId="3" fontId="11" fillId="0" borderId="11" xfId="57" applyNumberFormat="1" applyFont="1" applyFill="1" applyBorder="1" applyAlignment="1">
      <alignment horizontal="right" vertical="center"/>
      <protection/>
    </xf>
    <xf numFmtId="3" fontId="11" fillId="0" borderId="110" xfId="57" applyNumberFormat="1" applyFont="1" applyFill="1" applyBorder="1" applyAlignment="1">
      <alignment horizontal="right" vertical="center"/>
      <protection/>
    </xf>
    <xf numFmtId="3" fontId="11" fillId="0" borderId="56" xfId="57" applyNumberFormat="1" applyFont="1" applyFill="1" applyBorder="1" applyAlignment="1">
      <alignment horizontal="right" vertical="center"/>
      <protection/>
    </xf>
    <xf numFmtId="3" fontId="11" fillId="0" borderId="0" xfId="57" applyNumberFormat="1" applyFont="1" applyFill="1" applyBorder="1" applyAlignment="1">
      <alignment horizontal="right" vertical="center"/>
      <protection/>
    </xf>
    <xf numFmtId="0" fontId="11" fillId="0" borderId="45" xfId="57" applyFont="1" applyFill="1" applyBorder="1" applyAlignment="1">
      <alignment vertical="center"/>
      <protection/>
    </xf>
    <xf numFmtId="3" fontId="11" fillId="0" borderId="68" xfId="57" applyNumberFormat="1" applyFont="1" applyFill="1" applyBorder="1" applyAlignment="1">
      <alignment horizontal="right" vertical="center"/>
      <protection/>
    </xf>
    <xf numFmtId="3" fontId="74" fillId="0" borderId="110" xfId="57" applyNumberFormat="1" applyFont="1" applyFill="1" applyBorder="1" applyAlignment="1">
      <alignment horizontal="right" vertical="center"/>
      <protection/>
    </xf>
    <xf numFmtId="3" fontId="10" fillId="0" borderId="0" xfId="57" applyNumberFormat="1" applyFont="1" applyFill="1" applyBorder="1" applyAlignment="1">
      <alignment vertical="center"/>
      <protection/>
    </xf>
    <xf numFmtId="0" fontId="10" fillId="0" borderId="45" xfId="57" applyFont="1" applyFill="1" applyBorder="1" applyAlignment="1">
      <alignment horizontal="left" vertical="center"/>
      <protection/>
    </xf>
    <xf numFmtId="3" fontId="10" fillId="0" borderId="11" xfId="57" applyNumberFormat="1" applyFont="1" applyFill="1" applyBorder="1" applyAlignment="1">
      <alignment vertical="center"/>
      <protection/>
    </xf>
    <xf numFmtId="3" fontId="10" fillId="0" borderId="68" xfId="57" applyNumberFormat="1" applyFont="1" applyFill="1" applyBorder="1" applyAlignment="1">
      <alignment vertical="center"/>
      <protection/>
    </xf>
    <xf numFmtId="3" fontId="10" fillId="0" borderId="110" xfId="57" applyNumberFormat="1" applyFont="1" applyFill="1" applyBorder="1" applyAlignment="1">
      <alignment vertical="center"/>
      <protection/>
    </xf>
    <xf numFmtId="0" fontId="10" fillId="0" borderId="45" xfId="57" applyFont="1" applyFill="1" applyBorder="1" applyAlignment="1">
      <alignment horizontal="left" vertical="center" wrapText="1"/>
      <protection/>
    </xf>
    <xf numFmtId="3" fontId="11" fillId="0" borderId="0" xfId="57" applyNumberFormat="1" applyFont="1" applyFill="1" applyBorder="1" applyAlignment="1">
      <alignment vertical="center"/>
      <protection/>
    </xf>
    <xf numFmtId="3" fontId="11" fillId="0" borderId="11" xfId="57" applyNumberFormat="1" applyFont="1" applyFill="1" applyBorder="1" applyAlignment="1">
      <alignment vertical="center"/>
      <protection/>
    </xf>
    <xf numFmtId="3" fontId="11" fillId="0" borderId="110" xfId="57" applyNumberFormat="1" applyFont="1" applyFill="1" applyBorder="1" applyAlignment="1">
      <alignment vertical="center"/>
      <protection/>
    </xf>
    <xf numFmtId="3" fontId="11" fillId="0" borderId="56" xfId="57" applyNumberFormat="1" applyFont="1" applyFill="1" applyBorder="1" applyAlignment="1">
      <alignment vertical="center"/>
      <protection/>
    </xf>
    <xf numFmtId="3" fontId="11" fillId="0" borderId="68" xfId="57" applyNumberFormat="1" applyFont="1" applyFill="1" applyBorder="1" applyAlignment="1">
      <alignment vertical="center"/>
      <protection/>
    </xf>
    <xf numFmtId="0" fontId="10" fillId="0" borderId="45" xfId="57" applyFont="1" applyFill="1" applyBorder="1" applyAlignment="1">
      <alignment vertical="center"/>
      <protection/>
    </xf>
    <xf numFmtId="0" fontId="10" fillId="0" borderId="45" xfId="57" applyFont="1" applyFill="1" applyBorder="1" applyAlignment="1">
      <alignment horizontal="justify" vertical="center"/>
      <protection/>
    </xf>
    <xf numFmtId="3" fontId="10" fillId="0" borderId="11" xfId="57" applyNumberFormat="1" applyFont="1" applyFill="1" applyBorder="1" applyAlignment="1">
      <alignment horizontal="right" vertical="center"/>
      <protection/>
    </xf>
    <xf numFmtId="3" fontId="10" fillId="0" borderId="68" xfId="57" applyNumberFormat="1" applyFont="1" applyFill="1" applyBorder="1" applyAlignment="1">
      <alignment horizontal="right" vertical="center"/>
      <protection/>
    </xf>
    <xf numFmtId="3" fontId="10" fillId="0" borderId="56" xfId="57" applyNumberFormat="1" applyFont="1" applyFill="1" applyBorder="1" applyAlignment="1">
      <alignment vertical="center"/>
      <protection/>
    </xf>
    <xf numFmtId="0" fontId="11" fillId="0" borderId="161" xfId="57" applyFont="1" applyFill="1" applyBorder="1" applyAlignment="1">
      <alignment vertical="center"/>
      <protection/>
    </xf>
    <xf numFmtId="3" fontId="11" fillId="0" borderId="78" xfId="57" applyNumberFormat="1" applyFont="1" applyFill="1" applyBorder="1" applyAlignment="1">
      <alignment vertical="center"/>
      <protection/>
    </xf>
    <xf numFmtId="3" fontId="11" fillId="0" borderId="144" xfId="57" applyNumberFormat="1" applyFont="1" applyFill="1" applyBorder="1" applyAlignment="1">
      <alignment vertical="center"/>
      <protection/>
    </xf>
    <xf numFmtId="3" fontId="11" fillId="0" borderId="51" xfId="57" applyNumberFormat="1" applyFont="1" applyFill="1" applyBorder="1" applyAlignment="1">
      <alignment vertical="center"/>
      <protection/>
    </xf>
    <xf numFmtId="3" fontId="11" fillId="0" borderId="54" xfId="57" applyNumberFormat="1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vertical="center"/>
      <protection/>
    </xf>
    <xf numFmtId="3" fontId="30" fillId="0" borderId="0" xfId="57" applyNumberFormat="1" applyFont="1" applyFill="1" applyBorder="1" applyAlignment="1">
      <alignment vertical="center"/>
      <protection/>
    </xf>
    <xf numFmtId="0" fontId="11" fillId="0" borderId="24" xfId="57" applyFont="1" applyFill="1" applyBorder="1" applyAlignment="1">
      <alignment vertical="center"/>
      <protection/>
    </xf>
    <xf numFmtId="3" fontId="11" fillId="0" borderId="24" xfId="57" applyNumberFormat="1" applyFont="1" applyFill="1" applyBorder="1" applyAlignment="1">
      <alignment vertical="center"/>
      <protection/>
    </xf>
    <xf numFmtId="0" fontId="11" fillId="0" borderId="27" xfId="57" applyFont="1" applyFill="1" applyBorder="1" applyAlignment="1">
      <alignment vertical="center"/>
      <protection/>
    </xf>
    <xf numFmtId="3" fontId="11" fillId="0" borderId="27" xfId="57" applyNumberFormat="1" applyFont="1" applyFill="1" applyBorder="1" applyAlignment="1">
      <alignment vertical="center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73" fillId="0" borderId="13" xfId="57" applyFont="1" applyFill="1" applyBorder="1" applyAlignment="1">
      <alignment horizontal="center" vertical="center"/>
      <protection/>
    </xf>
    <xf numFmtId="0" fontId="73" fillId="0" borderId="95" xfId="57" applyFont="1" applyFill="1" applyBorder="1" applyAlignment="1">
      <alignment horizontal="center" vertical="center"/>
      <protection/>
    </xf>
    <xf numFmtId="3" fontId="11" fillId="0" borderId="50" xfId="57" applyNumberFormat="1" applyFont="1" applyFill="1" applyBorder="1" applyAlignment="1">
      <alignment vertical="center"/>
      <protection/>
    </xf>
    <xf numFmtId="0" fontId="11" fillId="0" borderId="45" xfId="57" applyFont="1" applyFill="1" applyBorder="1" applyAlignment="1">
      <alignment horizontal="justify" vertical="center"/>
      <protection/>
    </xf>
    <xf numFmtId="3" fontId="11" fillId="0" borderId="50" xfId="57" applyNumberFormat="1" applyFont="1" applyFill="1" applyBorder="1" applyAlignment="1">
      <alignment horizontal="right" vertical="center"/>
      <protection/>
    </xf>
    <xf numFmtId="0" fontId="10" fillId="0" borderId="45" xfId="57" applyFont="1" applyFill="1" applyBorder="1" applyAlignment="1">
      <alignment horizontal="justify"/>
      <protection/>
    </xf>
    <xf numFmtId="3" fontId="10" fillId="0" borderId="11" xfId="57" applyNumberFormat="1" applyFont="1" applyFill="1" applyBorder="1" applyAlignment="1">
      <alignment horizontal="right"/>
      <protection/>
    </xf>
    <xf numFmtId="3" fontId="10" fillId="0" borderId="50" xfId="57" applyNumberFormat="1" applyFont="1" applyFill="1" applyBorder="1" applyAlignment="1">
      <alignment horizontal="right" vertical="center"/>
      <protection/>
    </xf>
    <xf numFmtId="0" fontId="11" fillId="0" borderId="161" xfId="57" applyFont="1" applyFill="1" applyBorder="1" applyAlignment="1">
      <alignment horizontal="justify" vertical="center"/>
      <protection/>
    </xf>
    <xf numFmtId="3" fontId="11" fillId="0" borderId="52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justify"/>
      <protection/>
    </xf>
    <xf numFmtId="0" fontId="10" fillId="0" borderId="0" xfId="58" applyFont="1" applyFill="1" applyAlignment="1">
      <alignment/>
      <protection/>
    </xf>
    <xf numFmtId="0" fontId="10" fillId="0" borderId="0" xfId="58" applyFont="1" applyFill="1" applyAlignment="1">
      <alignment horizontal="right"/>
      <protection/>
    </xf>
    <xf numFmtId="0" fontId="72" fillId="0" borderId="0" xfId="58" applyFont="1" applyFill="1" applyAlignment="1">
      <alignment horizontal="right"/>
      <protection/>
    </xf>
    <xf numFmtId="0" fontId="19" fillId="0" borderId="121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Alignment="1">
      <alignment vertical="center"/>
      <protection/>
    </xf>
    <xf numFmtId="0" fontId="18" fillId="0" borderId="92" xfId="58" applyFont="1" applyFill="1" applyBorder="1" applyAlignment="1">
      <alignment horizontal="center" vertical="center"/>
      <protection/>
    </xf>
    <xf numFmtId="0" fontId="18" fillId="0" borderId="162" xfId="58" applyFont="1" applyFill="1" applyBorder="1" applyAlignment="1">
      <alignment horizontal="left" vertical="center"/>
      <protection/>
    </xf>
    <xf numFmtId="3" fontId="18" fillId="0" borderId="86" xfId="58" applyNumberFormat="1" applyFont="1" applyFill="1" applyBorder="1" applyAlignment="1">
      <alignment horizontal="right" vertical="center"/>
      <protection/>
    </xf>
    <xf numFmtId="3" fontId="18" fillId="0" borderId="93" xfId="58" applyNumberFormat="1" applyFont="1" applyFill="1" applyBorder="1" applyAlignment="1">
      <alignment horizontal="right" vertical="center"/>
      <protection/>
    </xf>
    <xf numFmtId="3" fontId="11" fillId="0" borderId="0" xfId="58" applyNumberFormat="1" applyFont="1" applyFill="1" applyBorder="1" applyAlignment="1">
      <alignment horizontal="right" vertical="center"/>
      <protection/>
    </xf>
    <xf numFmtId="0" fontId="18" fillId="0" borderId="16" xfId="58" applyFont="1" applyFill="1" applyBorder="1" applyAlignment="1">
      <alignment horizontal="left" vertical="center" wrapText="1"/>
      <protection/>
    </xf>
    <xf numFmtId="3" fontId="18" fillId="0" borderId="16" xfId="58" applyNumberFormat="1" applyFont="1" applyFill="1" applyBorder="1" applyAlignment="1">
      <alignment horizontal="right" vertical="center"/>
      <protection/>
    </xf>
    <xf numFmtId="3" fontId="18" fillId="0" borderId="94" xfId="58" applyNumberFormat="1" applyFont="1" applyFill="1" applyBorder="1" applyAlignment="1">
      <alignment horizontal="right" vertical="center"/>
      <protection/>
    </xf>
    <xf numFmtId="3" fontId="10" fillId="0" borderId="0" xfId="58" applyNumberFormat="1" applyFont="1" applyFill="1" applyBorder="1" applyAlignment="1">
      <alignment vertical="center"/>
      <protection/>
    </xf>
    <xf numFmtId="0" fontId="18" fillId="0" borderId="16" xfId="58" applyFont="1" applyFill="1" applyBorder="1" applyAlignment="1">
      <alignment horizontal="left" vertical="center"/>
      <protection/>
    </xf>
    <xf numFmtId="0" fontId="18" fillId="0" borderId="14" xfId="58" applyFont="1" applyFill="1" applyBorder="1" applyAlignment="1">
      <alignment horizontal="left" vertical="center"/>
      <protection/>
    </xf>
    <xf numFmtId="3" fontId="18" fillId="0" borderId="14" xfId="58" applyNumberFormat="1" applyFont="1" applyFill="1" applyBorder="1" applyAlignment="1">
      <alignment horizontal="right" vertical="center"/>
      <protection/>
    </xf>
    <xf numFmtId="3" fontId="18" fillId="0" borderId="44" xfId="58" applyNumberFormat="1" applyFont="1" applyFill="1" applyBorder="1" applyAlignment="1">
      <alignment horizontal="right" vertical="center"/>
      <protection/>
    </xf>
    <xf numFmtId="3" fontId="11" fillId="0" borderId="0" xfId="58" applyNumberFormat="1" applyFont="1" applyFill="1" applyBorder="1" applyAlignment="1">
      <alignment vertical="center"/>
      <protection/>
    </xf>
    <xf numFmtId="0" fontId="18" fillId="0" borderId="45" xfId="58" applyFont="1" applyFill="1" applyBorder="1" applyAlignment="1">
      <alignment horizontal="center" vertical="center"/>
      <protection/>
    </xf>
    <xf numFmtId="0" fontId="18" fillId="0" borderId="117" xfId="58" applyFont="1" applyFill="1" applyBorder="1" applyAlignment="1">
      <alignment horizontal="center" vertical="center"/>
      <protection/>
    </xf>
    <xf numFmtId="0" fontId="19" fillId="0" borderId="22" xfId="58" applyFont="1" applyFill="1" applyBorder="1" applyAlignment="1">
      <alignment horizontal="center" vertical="center" wrapText="1"/>
      <protection/>
    </xf>
    <xf numFmtId="3" fontId="19" fillId="0" borderId="22" xfId="58" applyNumberFormat="1" applyFont="1" applyFill="1" applyBorder="1" applyAlignment="1">
      <alignment horizontal="right" vertical="center"/>
      <protection/>
    </xf>
    <xf numFmtId="3" fontId="19" fillId="0" borderId="111" xfId="58" applyNumberFormat="1" applyFont="1" applyFill="1" applyBorder="1" applyAlignment="1">
      <alignment horizontal="right" vertical="center"/>
      <protection/>
    </xf>
    <xf numFmtId="0" fontId="19" fillId="0" borderId="86" xfId="58" applyFont="1" applyFill="1" applyBorder="1" applyAlignment="1">
      <alignment horizontal="left" vertical="center" wrapText="1"/>
      <protection/>
    </xf>
    <xf numFmtId="0" fontId="19" fillId="0" borderId="16" xfId="58" applyFont="1" applyFill="1" applyBorder="1" applyAlignment="1">
      <alignment horizontal="left" vertical="center" wrapText="1"/>
      <protection/>
    </xf>
    <xf numFmtId="0" fontId="19" fillId="0" borderId="22" xfId="58" applyFont="1" applyFill="1" applyBorder="1" applyAlignment="1">
      <alignment horizontal="left" vertical="center"/>
      <protection/>
    </xf>
    <xf numFmtId="0" fontId="18" fillId="0" borderId="86" xfId="58" applyFont="1" applyFill="1" applyBorder="1" applyAlignment="1">
      <alignment horizontal="left" vertical="center"/>
      <protection/>
    </xf>
    <xf numFmtId="0" fontId="18" fillId="0" borderId="161" xfId="58" applyFont="1" applyFill="1" applyBorder="1" applyAlignment="1">
      <alignment horizontal="center" vertical="center"/>
      <protection/>
    </xf>
    <xf numFmtId="0" fontId="19" fillId="0" borderId="51" xfId="58" applyFont="1" applyFill="1" applyBorder="1" applyAlignment="1">
      <alignment horizontal="left" vertical="center"/>
      <protection/>
    </xf>
    <xf numFmtId="3" fontId="19" fillId="0" borderId="51" xfId="58" applyNumberFormat="1" applyFont="1" applyFill="1" applyBorder="1" applyAlignment="1">
      <alignment horizontal="right" vertical="center"/>
      <protection/>
    </xf>
    <xf numFmtId="3" fontId="19" fillId="0" borderId="52" xfId="58" applyNumberFormat="1" applyFont="1" applyFill="1" applyBorder="1" applyAlignment="1">
      <alignment horizontal="right" vertical="center"/>
      <protection/>
    </xf>
    <xf numFmtId="0" fontId="19" fillId="0" borderId="22" xfId="58" applyFont="1" applyFill="1" applyBorder="1" applyAlignment="1">
      <alignment horizontal="left" vertical="center" wrapText="1"/>
      <protection/>
    </xf>
    <xf numFmtId="0" fontId="19" fillId="0" borderId="86" xfId="58" applyFont="1" applyFill="1" applyBorder="1" applyAlignment="1">
      <alignment horizontal="left" vertical="center"/>
      <protection/>
    </xf>
    <xf numFmtId="0" fontId="19" fillId="0" borderId="16" xfId="58" applyFont="1" applyFill="1" applyBorder="1" applyAlignment="1">
      <alignment horizontal="left" vertical="center"/>
      <protection/>
    </xf>
    <xf numFmtId="0" fontId="18" fillId="0" borderId="14" xfId="58" applyFont="1" applyFill="1" applyBorder="1" applyAlignment="1">
      <alignment horizontal="left" vertical="center" wrapText="1"/>
      <protection/>
    </xf>
    <xf numFmtId="3" fontId="18" fillId="0" borderId="100" xfId="58" applyNumberFormat="1" applyFont="1" applyFill="1" applyBorder="1" applyAlignment="1">
      <alignment horizontal="right" vertical="center"/>
      <protection/>
    </xf>
    <xf numFmtId="0" fontId="19" fillId="0" borderId="51" xfId="58" applyFont="1" applyFill="1" applyBorder="1" applyAlignment="1">
      <alignment horizontal="left" vertical="center" wrapText="1" indent="1"/>
      <protection/>
    </xf>
    <xf numFmtId="0" fontId="18" fillId="0" borderId="87" xfId="58" applyFont="1" applyFill="1" applyBorder="1" applyAlignment="1">
      <alignment horizontal="center" vertical="center"/>
      <protection/>
    </xf>
    <xf numFmtId="0" fontId="19" fillId="0" borderId="40" xfId="58" applyFont="1" applyFill="1" applyBorder="1" applyAlignment="1">
      <alignment horizontal="left" vertical="center" wrapText="1" indent="1"/>
      <protection/>
    </xf>
    <xf numFmtId="3" fontId="19" fillId="0" borderId="64" xfId="58" applyNumberFormat="1" applyFont="1" applyFill="1" applyBorder="1" applyAlignment="1">
      <alignment horizontal="right" vertical="center"/>
      <protection/>
    </xf>
    <xf numFmtId="3" fontId="19" fillId="0" borderId="81" xfId="58" applyNumberFormat="1" applyFont="1" applyFill="1" applyBorder="1" applyAlignment="1">
      <alignment horizontal="right" vertical="center"/>
      <protection/>
    </xf>
    <xf numFmtId="0" fontId="10" fillId="0" borderId="0" xfId="59" applyFont="1" applyFill="1" applyAlignment="1">
      <alignment/>
      <protection/>
    </xf>
    <xf numFmtId="0" fontId="10" fillId="0" borderId="0" xfId="59" applyFont="1" applyFill="1" applyAlignment="1">
      <alignment horizontal="right"/>
      <protection/>
    </xf>
    <xf numFmtId="0" fontId="72" fillId="0" borderId="0" xfId="59" applyFont="1" applyFill="1" applyAlignment="1">
      <alignment horizontal="right"/>
      <protection/>
    </xf>
    <xf numFmtId="0" fontId="18" fillId="0" borderId="163" xfId="59" applyFont="1" applyFill="1" applyBorder="1" applyAlignment="1">
      <alignment vertical="center"/>
      <protection/>
    </xf>
    <xf numFmtId="0" fontId="18" fillId="0" borderId="164" xfId="59" applyFont="1" applyFill="1" applyBorder="1" applyAlignment="1">
      <alignment vertical="center"/>
      <protection/>
    </xf>
    <xf numFmtId="3" fontId="18" fillId="0" borderId="164" xfId="59" applyNumberFormat="1" applyFont="1" applyFill="1" applyBorder="1" applyAlignment="1">
      <alignment horizontal="right" vertical="center"/>
      <protection/>
    </xf>
    <xf numFmtId="3" fontId="19" fillId="0" borderId="165" xfId="59" applyNumberFormat="1" applyFont="1" applyFill="1" applyBorder="1" applyAlignment="1">
      <alignment horizontal="right" vertical="center"/>
      <protection/>
    </xf>
    <xf numFmtId="3" fontId="10" fillId="0" borderId="0" xfId="59" applyNumberFormat="1" applyFont="1" applyFill="1" applyAlignment="1">
      <alignment/>
      <protection/>
    </xf>
    <xf numFmtId="0" fontId="18" fillId="0" borderId="45" xfId="59" applyFont="1" applyFill="1" applyBorder="1" applyAlignment="1">
      <alignment vertical="center"/>
      <protection/>
    </xf>
    <xf numFmtId="0" fontId="18" fillId="0" borderId="68" xfId="59" applyFont="1" applyFill="1" applyBorder="1" applyAlignment="1">
      <alignment vertical="center"/>
      <protection/>
    </xf>
    <xf numFmtId="3" fontId="18" fillId="0" borderId="68" xfId="59" applyNumberFormat="1" applyFont="1" applyFill="1" applyBorder="1" applyAlignment="1">
      <alignment horizontal="right" vertical="center"/>
      <protection/>
    </xf>
    <xf numFmtId="3" fontId="19" fillId="0" borderId="50" xfId="59" applyNumberFormat="1" applyFont="1" applyFill="1" applyBorder="1" applyAlignment="1">
      <alignment horizontal="right" vertical="center"/>
      <protection/>
    </xf>
    <xf numFmtId="0" fontId="18" fillId="0" borderId="68" xfId="59" applyFont="1" applyFill="1" applyBorder="1" applyAlignment="1">
      <alignment vertical="center" wrapText="1"/>
      <protection/>
    </xf>
    <xf numFmtId="0" fontId="18" fillId="0" borderId="60" xfId="59" applyFont="1" applyFill="1" applyBorder="1" applyAlignment="1">
      <alignment/>
      <protection/>
    </xf>
    <xf numFmtId="0" fontId="18" fillId="0" borderId="166" xfId="59" applyFont="1" applyFill="1" applyBorder="1" applyAlignment="1">
      <alignment/>
      <protection/>
    </xf>
    <xf numFmtId="3" fontId="18" fillId="0" borderId="166" xfId="59" applyNumberFormat="1" applyFont="1" applyFill="1" applyBorder="1" applyAlignment="1">
      <alignment horizontal="right" vertical="center"/>
      <protection/>
    </xf>
    <xf numFmtId="3" fontId="19" fillId="0" borderId="153" xfId="59" applyNumberFormat="1" applyFont="1" applyFill="1" applyBorder="1" applyAlignment="1">
      <alignment horizontal="right" vertical="center"/>
      <protection/>
    </xf>
    <xf numFmtId="0" fontId="18" fillId="0" borderId="45" xfId="59" applyFont="1" applyFill="1" applyBorder="1" applyAlignment="1">
      <alignment/>
      <protection/>
    </xf>
    <xf numFmtId="0" fontId="18" fillId="0" borderId="68" xfId="59" applyFont="1" applyFill="1" applyBorder="1" applyAlignment="1">
      <alignment/>
      <protection/>
    </xf>
    <xf numFmtId="0" fontId="18" fillId="0" borderId="59" xfId="59" applyFont="1" applyFill="1" applyBorder="1" applyAlignment="1">
      <alignment/>
      <protection/>
    </xf>
    <xf numFmtId="0" fontId="18" fillId="0" borderId="167" xfId="59" applyFont="1" applyFill="1" applyBorder="1" applyAlignment="1">
      <alignment/>
      <protection/>
    </xf>
    <xf numFmtId="3" fontId="18" fillId="0" borderId="167" xfId="59" applyNumberFormat="1" applyFont="1" applyFill="1" applyBorder="1" applyAlignment="1">
      <alignment horizontal="right" vertical="center"/>
      <protection/>
    </xf>
    <xf numFmtId="3" fontId="19" fillId="0" borderId="61" xfId="59" applyNumberFormat="1" applyFont="1" applyFill="1" applyBorder="1" applyAlignment="1">
      <alignment horizontal="right" vertical="center"/>
      <protection/>
    </xf>
    <xf numFmtId="0" fontId="18" fillId="0" borderId="166" xfId="59" applyFont="1" applyFill="1" applyBorder="1" applyAlignment="1">
      <alignment wrapText="1"/>
      <protection/>
    </xf>
    <xf numFmtId="3" fontId="19" fillId="0" borderId="91" xfId="59" applyNumberFormat="1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center" vertical="center"/>
      <protection/>
    </xf>
    <xf numFmtId="0" fontId="10" fillId="0" borderId="0" xfId="59" applyFont="1" applyFill="1" applyAlignment="1">
      <alignment vertical="center"/>
      <protection/>
    </xf>
    <xf numFmtId="0" fontId="19" fillId="0" borderId="83" xfId="59" applyFont="1" applyFill="1" applyBorder="1" applyAlignment="1">
      <alignment/>
      <protection/>
    </xf>
    <xf numFmtId="0" fontId="19" fillId="0" borderId="30" xfId="59" applyFont="1" applyFill="1" applyBorder="1" applyAlignment="1">
      <alignment/>
      <protection/>
    </xf>
    <xf numFmtId="3" fontId="19" fillId="0" borderId="30" xfId="59" applyNumberFormat="1" applyFont="1" applyFill="1" applyBorder="1" applyAlignment="1">
      <alignment horizontal="right" vertical="center"/>
      <protection/>
    </xf>
    <xf numFmtId="3" fontId="19" fillId="0" borderId="95" xfId="59" applyNumberFormat="1" applyFont="1" applyFill="1" applyBorder="1" applyAlignment="1">
      <alignment horizontal="right" vertical="center"/>
      <protection/>
    </xf>
    <xf numFmtId="3" fontId="11" fillId="0" borderId="0" xfId="59" applyNumberFormat="1" applyFont="1" applyFill="1" applyBorder="1" applyAlignment="1">
      <alignment horizontal="right" vertical="center"/>
      <protection/>
    </xf>
    <xf numFmtId="0" fontId="19" fillId="0" borderId="45" xfId="59" applyFont="1" applyFill="1" applyBorder="1" applyAlignment="1">
      <alignment/>
      <protection/>
    </xf>
    <xf numFmtId="0" fontId="19" fillId="0" borderId="68" xfId="59" applyFont="1" applyFill="1" applyBorder="1" applyAlignment="1">
      <alignment/>
      <protection/>
    </xf>
    <xf numFmtId="3" fontId="19" fillId="0" borderId="68" xfId="59" applyNumberFormat="1" applyFont="1" applyFill="1" applyBorder="1" applyAlignment="1">
      <alignment horizontal="right"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9" fillId="0" borderId="84" xfId="59" applyFont="1" applyFill="1" applyBorder="1" applyAlignment="1">
      <alignment vertical="center"/>
      <protection/>
    </xf>
    <xf numFmtId="0" fontId="19" fillId="0" borderId="34" xfId="59" applyFont="1" applyFill="1" applyBorder="1" applyAlignment="1">
      <alignment vertical="center"/>
      <protection/>
    </xf>
    <xf numFmtId="3" fontId="19" fillId="0" borderId="34" xfId="59" applyNumberFormat="1" applyFont="1" applyFill="1" applyBorder="1" applyAlignment="1">
      <alignment horizontal="right" vertical="center"/>
      <protection/>
    </xf>
    <xf numFmtId="3" fontId="11" fillId="0" borderId="0" xfId="59" applyNumberFormat="1" applyFont="1" applyFill="1" applyBorder="1" applyAlignment="1">
      <alignment vertical="center"/>
      <protection/>
    </xf>
    <xf numFmtId="0" fontId="19" fillId="0" borderId="30" xfId="59" applyFont="1" applyBorder="1" applyAlignment="1">
      <alignment horizontal="right" vertical="center"/>
      <protection/>
    </xf>
    <xf numFmtId="0" fontId="19" fillId="0" borderId="30" xfId="70" applyFont="1" applyBorder="1" applyAlignment="1">
      <alignment horizontal="right" vertical="center"/>
      <protection/>
    </xf>
    <xf numFmtId="0" fontId="19" fillId="0" borderId="13" xfId="59" applyFont="1" applyBorder="1" applyAlignment="1">
      <alignment horizontal="right" vertical="center"/>
      <protection/>
    </xf>
    <xf numFmtId="0" fontId="19" fillId="0" borderId="95" xfId="70" applyFont="1" applyBorder="1" applyAlignment="1">
      <alignment horizontal="right" vertical="center"/>
      <protection/>
    </xf>
    <xf numFmtId="0" fontId="11" fillId="0" borderId="0" xfId="59" applyFont="1" applyFill="1" applyAlignment="1">
      <alignment vertical="center"/>
      <protection/>
    </xf>
    <xf numFmtId="3" fontId="19" fillId="0" borderId="68" xfId="59" applyNumberFormat="1" applyFont="1" applyBorder="1" applyAlignment="1">
      <alignment horizontal="right" vertical="center"/>
      <protection/>
    </xf>
    <xf numFmtId="3" fontId="19" fillId="0" borderId="50" xfId="59" applyNumberFormat="1" applyFont="1" applyBorder="1" applyAlignment="1">
      <alignment horizontal="right" vertical="center"/>
      <protection/>
    </xf>
    <xf numFmtId="0" fontId="19" fillId="0" borderId="84" xfId="59" applyFont="1" applyFill="1" applyBorder="1" applyAlignment="1">
      <alignment/>
      <protection/>
    </xf>
    <xf numFmtId="0" fontId="19" fillId="0" borderId="34" xfId="59" applyFont="1" applyFill="1" applyBorder="1" applyAlignment="1">
      <alignment/>
      <protection/>
    </xf>
    <xf numFmtId="0" fontId="19" fillId="0" borderId="34" xfId="59" applyFont="1" applyBorder="1" applyAlignment="1">
      <alignment horizontal="right" vertical="center"/>
      <protection/>
    </xf>
    <xf numFmtId="0" fontId="19" fillId="0" borderId="34" xfId="70" applyFont="1" applyBorder="1" applyAlignment="1">
      <alignment horizontal="right" vertical="center"/>
      <protection/>
    </xf>
    <xf numFmtId="0" fontId="19" fillId="0" borderId="20" xfId="59" applyFont="1" applyBorder="1" applyAlignment="1">
      <alignment horizontal="right" vertical="center"/>
      <protection/>
    </xf>
    <xf numFmtId="0" fontId="19" fillId="0" borderId="91" xfId="70" applyFont="1" applyBorder="1" applyAlignment="1">
      <alignment horizontal="right" vertical="center"/>
      <protection/>
    </xf>
    <xf numFmtId="0" fontId="18" fillId="0" borderId="106" xfId="59" applyFont="1" applyFill="1" applyBorder="1" applyAlignment="1">
      <alignment vertical="center"/>
      <protection/>
    </xf>
    <xf numFmtId="0" fontId="18" fillId="0" borderId="168" xfId="59" applyFont="1" applyFill="1" applyBorder="1" applyAlignment="1">
      <alignment vertical="center" wrapText="1"/>
      <protection/>
    </xf>
    <xf numFmtId="0" fontId="18" fillId="0" borderId="168" xfId="59" applyFont="1" applyBorder="1" applyAlignment="1">
      <alignment horizontal="right" vertical="center"/>
      <protection/>
    </xf>
    <xf numFmtId="3" fontId="18" fillId="0" borderId="168" xfId="59" applyNumberFormat="1" applyFont="1" applyFill="1" applyBorder="1" applyAlignment="1">
      <alignment horizontal="right" vertical="center"/>
      <protection/>
    </xf>
    <xf numFmtId="0" fontId="18" fillId="0" borderId="158" xfId="70" applyFont="1" applyBorder="1" applyAlignment="1">
      <alignment horizontal="right" vertical="center"/>
      <protection/>
    </xf>
    <xf numFmtId="0" fontId="18" fillId="0" borderId="86" xfId="59" applyFont="1" applyFill="1" applyBorder="1" applyAlignment="1" quotePrefix="1">
      <alignment wrapText="1"/>
      <protection/>
    </xf>
    <xf numFmtId="3" fontId="18" fillId="0" borderId="68" xfId="59" applyNumberFormat="1" applyFont="1" applyBorder="1" applyAlignment="1">
      <alignment horizontal="right" vertical="center"/>
      <protection/>
    </xf>
    <xf numFmtId="3" fontId="18" fillId="0" borderId="56" xfId="70" applyNumberFormat="1" applyFont="1" applyBorder="1" applyAlignment="1">
      <alignment horizontal="right" vertical="center"/>
      <protection/>
    </xf>
    <xf numFmtId="0" fontId="26" fillId="0" borderId="89" xfId="59" applyFont="1" applyFill="1" applyBorder="1" applyAlignment="1">
      <alignment vertical="center"/>
      <protection/>
    </xf>
    <xf numFmtId="0" fontId="26" fillId="0" borderId="112" xfId="59" applyFont="1" applyFill="1" applyBorder="1" applyAlignment="1">
      <alignment horizontal="left" vertical="center" indent="1"/>
      <protection/>
    </xf>
    <xf numFmtId="3" fontId="26" fillId="0" borderId="112" xfId="59" applyNumberFormat="1" applyFont="1" applyBorder="1" applyAlignment="1">
      <alignment horizontal="right" vertical="center"/>
      <protection/>
    </xf>
    <xf numFmtId="3" fontId="26" fillId="0" borderId="112" xfId="59" applyNumberFormat="1" applyFont="1" applyFill="1" applyBorder="1" applyAlignment="1">
      <alignment horizontal="right" vertical="center"/>
      <protection/>
    </xf>
    <xf numFmtId="3" fontId="18" fillId="0" borderId="94" xfId="70" applyNumberFormat="1" applyFont="1" applyBorder="1" applyAlignment="1">
      <alignment horizontal="right" vertical="center"/>
      <protection/>
    </xf>
    <xf numFmtId="3" fontId="30" fillId="0" borderId="0" xfId="59" applyNumberFormat="1" applyFont="1" applyFill="1" applyBorder="1" applyAlignment="1">
      <alignment vertical="center"/>
      <protection/>
    </xf>
    <xf numFmtId="0" fontId="30" fillId="0" borderId="0" xfId="59" applyFont="1" applyFill="1" applyAlignment="1">
      <alignment vertical="center"/>
      <protection/>
    </xf>
    <xf numFmtId="0" fontId="26" fillId="0" borderId="45" xfId="59" applyFont="1" applyFill="1" applyBorder="1" applyAlignment="1">
      <alignment/>
      <protection/>
    </xf>
    <xf numFmtId="0" fontId="26" fillId="0" borderId="68" xfId="59" applyFont="1" applyFill="1" applyBorder="1" applyAlignment="1">
      <alignment horizontal="left" indent="1"/>
      <protection/>
    </xf>
    <xf numFmtId="3" fontId="26" fillId="0" borderId="68" xfId="59" applyNumberFormat="1" applyFont="1" applyFill="1" applyBorder="1" applyAlignment="1">
      <alignment horizontal="right" vertical="center"/>
      <protection/>
    </xf>
    <xf numFmtId="0" fontId="18" fillId="0" borderId="89" xfId="59" applyFont="1" applyFill="1" applyBorder="1" applyAlignment="1">
      <alignment/>
      <protection/>
    </xf>
    <xf numFmtId="0" fontId="18" fillId="0" borderId="16" xfId="59" applyFont="1" applyFill="1" applyBorder="1" applyAlignment="1" quotePrefix="1">
      <alignment wrapText="1"/>
      <protection/>
    </xf>
    <xf numFmtId="3" fontId="18" fillId="0" borderId="112" xfId="59" applyNumberFormat="1" applyFont="1" applyFill="1" applyBorder="1" applyAlignment="1">
      <alignment horizontal="right" vertical="center"/>
      <protection/>
    </xf>
    <xf numFmtId="0" fontId="26" fillId="0" borderId="89" xfId="59" applyFont="1" applyFill="1" applyBorder="1" applyAlignment="1">
      <alignment/>
      <protection/>
    </xf>
    <xf numFmtId="3" fontId="26" fillId="0" borderId="16" xfId="59" applyNumberFormat="1" applyFont="1" applyFill="1" applyBorder="1" applyAlignment="1">
      <alignment horizontal="right" vertical="center"/>
      <protection/>
    </xf>
    <xf numFmtId="0" fontId="26" fillId="0" borderId="98" xfId="59" applyFont="1" applyFill="1" applyBorder="1" applyAlignment="1">
      <alignment/>
      <protection/>
    </xf>
    <xf numFmtId="3" fontId="26" fillId="0" borderId="17" xfId="59" applyNumberFormat="1" applyFont="1" applyFill="1" applyBorder="1" applyAlignment="1">
      <alignment horizontal="right" vertical="center"/>
      <protection/>
    </xf>
    <xf numFmtId="3" fontId="26" fillId="0" borderId="20" xfId="59" applyNumberFormat="1" applyFont="1" applyFill="1" applyBorder="1" applyAlignment="1">
      <alignment horizontal="right" vertical="center"/>
      <protection/>
    </xf>
    <xf numFmtId="0" fontId="10" fillId="0" borderId="28" xfId="59" applyFont="1" applyFill="1" applyBorder="1" applyAlignment="1">
      <alignment/>
      <protection/>
    </xf>
    <xf numFmtId="0" fontId="10" fillId="0" borderId="28" xfId="59" applyFont="1" applyFill="1" applyBorder="1" applyAlignment="1">
      <alignment horizontal="right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75" fillId="0" borderId="0" xfId="60" applyFont="1" applyAlignment="1">
      <alignment horizontal="right"/>
      <protection/>
    </xf>
    <xf numFmtId="0" fontId="6" fillId="0" borderId="30" xfId="60" applyFont="1" applyBorder="1" applyAlignment="1">
      <alignment horizontal="left"/>
      <protection/>
    </xf>
    <xf numFmtId="0" fontId="75" fillId="0" borderId="30" xfId="60" applyFont="1" applyBorder="1" applyAlignment="1">
      <alignment horizontal="center"/>
      <protection/>
    </xf>
    <xf numFmtId="0" fontId="75" fillId="0" borderId="31" xfId="60" applyFont="1" applyBorder="1" applyAlignment="1">
      <alignment horizontal="center"/>
      <protection/>
    </xf>
    <xf numFmtId="0" fontId="76" fillId="0" borderId="68" xfId="60" applyFont="1" applyBorder="1" applyAlignment="1">
      <alignment horizontal="center" vertical="center"/>
      <protection/>
    </xf>
    <xf numFmtId="0" fontId="75" fillId="0" borderId="68" xfId="60" applyFont="1" applyBorder="1" applyAlignment="1">
      <alignment horizontal="center"/>
      <protection/>
    </xf>
    <xf numFmtId="0" fontId="75" fillId="0" borderId="56" xfId="60" applyFont="1" applyBorder="1" applyAlignment="1">
      <alignment horizontal="center"/>
      <protection/>
    </xf>
    <xf numFmtId="0" fontId="76" fillId="0" borderId="68" xfId="60" applyFont="1" applyBorder="1" applyAlignment="1">
      <alignment horizontal="left" vertical="center"/>
      <protection/>
    </xf>
    <xf numFmtId="0" fontId="6" fillId="0" borderId="34" xfId="60" applyFont="1" applyBorder="1" applyAlignment="1">
      <alignment horizontal="left"/>
      <protection/>
    </xf>
    <xf numFmtId="0" fontId="75" fillId="0" borderId="34" xfId="60" applyFont="1" applyBorder="1" applyAlignment="1">
      <alignment horizontal="center"/>
      <protection/>
    </xf>
    <xf numFmtId="0" fontId="75" fillId="0" borderId="35" xfId="60" applyFont="1" applyBorder="1" applyAlignment="1">
      <alignment horizontal="center"/>
      <protection/>
    </xf>
    <xf numFmtId="0" fontId="6" fillId="0" borderId="163" xfId="60" applyFont="1" applyBorder="1" applyAlignment="1">
      <alignment horizontal="center" vertical="center"/>
      <protection/>
    </xf>
    <xf numFmtId="0" fontId="6" fillId="0" borderId="164" xfId="60" applyFont="1" applyFill="1" applyBorder="1" applyAlignment="1">
      <alignment horizontal="left" wrapText="1"/>
      <protection/>
    </xf>
    <xf numFmtId="3" fontId="6" fillId="0" borderId="164" xfId="60" applyNumberFormat="1" applyFont="1" applyFill="1" applyBorder="1">
      <alignment/>
      <protection/>
    </xf>
    <xf numFmtId="3" fontId="6" fillId="0" borderId="37" xfId="60" applyNumberFormat="1" applyFont="1" applyFill="1" applyBorder="1">
      <alignment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68" xfId="60" applyFont="1" applyFill="1" applyBorder="1" applyAlignment="1">
      <alignment horizontal="left" wrapText="1"/>
      <protection/>
    </xf>
    <xf numFmtId="3" fontId="6" fillId="0" borderId="68" xfId="60" applyNumberFormat="1" applyFont="1" applyFill="1" applyBorder="1">
      <alignment/>
      <protection/>
    </xf>
    <xf numFmtId="3" fontId="6" fillId="0" borderId="56" xfId="60" applyNumberFormat="1" applyFont="1" applyFill="1" applyBorder="1">
      <alignment/>
      <protection/>
    </xf>
    <xf numFmtId="0" fontId="6" fillId="0" borderId="60" xfId="60" applyFont="1" applyBorder="1" applyAlignment="1">
      <alignment horizontal="center" vertical="center"/>
      <protection/>
    </xf>
    <xf numFmtId="0" fontId="6" fillId="0" borderId="166" xfId="60" applyFont="1" applyFill="1" applyBorder="1" applyAlignment="1">
      <alignment horizontal="left" wrapText="1"/>
      <protection/>
    </xf>
    <xf numFmtId="3" fontId="6" fillId="0" borderId="166" xfId="60" applyNumberFormat="1" applyFont="1" applyFill="1" applyBorder="1">
      <alignment/>
      <protection/>
    </xf>
    <xf numFmtId="3" fontId="6" fillId="0" borderId="70" xfId="60" applyNumberFormat="1" applyFont="1" applyFill="1" applyBorder="1">
      <alignment/>
      <protection/>
    </xf>
    <xf numFmtId="0" fontId="7" fillId="0" borderId="117" xfId="60" applyFont="1" applyFill="1" applyBorder="1" applyAlignment="1">
      <alignment horizontal="center" vertical="center"/>
      <protection/>
    </xf>
    <xf numFmtId="0" fontId="7" fillId="0" borderId="160" xfId="60" applyFont="1" applyFill="1" applyBorder="1" applyAlignment="1">
      <alignment horizontal="left" wrapText="1"/>
      <protection/>
    </xf>
    <xf numFmtId="3" fontId="7" fillId="0" borderId="160" xfId="60" applyNumberFormat="1" applyFont="1" applyFill="1" applyBorder="1">
      <alignment/>
      <protection/>
    </xf>
    <xf numFmtId="3" fontId="7" fillId="0" borderId="122" xfId="60" applyNumberFormat="1" applyFont="1" applyFill="1" applyBorder="1">
      <alignment/>
      <protection/>
    </xf>
    <xf numFmtId="0" fontId="6" fillId="0" borderId="169" xfId="60" applyFont="1" applyFill="1" applyBorder="1" applyAlignment="1">
      <alignment horizontal="center" vertical="center"/>
      <protection/>
    </xf>
    <xf numFmtId="0" fontId="6" fillId="0" borderId="36" xfId="60" applyFont="1" applyFill="1" applyBorder="1" applyAlignment="1">
      <alignment horizontal="left" wrapText="1"/>
      <protection/>
    </xf>
    <xf numFmtId="0" fontId="6" fillId="0" borderId="17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left" wrapText="1"/>
      <protection/>
    </xf>
    <xf numFmtId="0" fontId="6" fillId="0" borderId="171" xfId="60" applyFont="1" applyFill="1" applyBorder="1" applyAlignment="1">
      <alignment horizontal="center" vertical="center"/>
      <protection/>
    </xf>
    <xf numFmtId="0" fontId="6" fillId="0" borderId="67" xfId="60" applyFont="1" applyFill="1" applyBorder="1" applyAlignment="1">
      <alignment horizontal="left" wrapText="1"/>
      <protection/>
    </xf>
    <xf numFmtId="3" fontId="6" fillId="0" borderId="172" xfId="60" applyNumberFormat="1" applyFont="1" applyFill="1" applyBorder="1">
      <alignment/>
      <protection/>
    </xf>
    <xf numFmtId="3" fontId="6" fillId="0" borderId="173" xfId="60" applyNumberFormat="1" applyFont="1" applyFill="1" applyBorder="1">
      <alignment/>
      <protection/>
    </xf>
    <xf numFmtId="0" fontId="7" fillId="0" borderId="174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left" wrapText="1"/>
      <protection/>
    </xf>
    <xf numFmtId="3" fontId="6" fillId="0" borderId="160" xfId="60" applyNumberFormat="1" applyFont="1" applyFill="1" applyBorder="1">
      <alignment/>
      <protection/>
    </xf>
    <xf numFmtId="3" fontId="6" fillId="0" borderId="122" xfId="60" applyNumberFormat="1" applyFont="1" applyFill="1" applyBorder="1">
      <alignment/>
      <protection/>
    </xf>
    <xf numFmtId="0" fontId="6" fillId="0" borderId="29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left" wrapText="1"/>
      <protection/>
    </xf>
    <xf numFmtId="3" fontId="7" fillId="0" borderId="30" xfId="60" applyNumberFormat="1" applyFont="1" applyFill="1" applyBorder="1">
      <alignment/>
      <protection/>
    </xf>
    <xf numFmtId="3" fontId="7" fillId="0" borderId="31" xfId="60" applyNumberFormat="1" applyFont="1" applyFill="1" applyBorder="1">
      <alignment/>
      <protection/>
    </xf>
    <xf numFmtId="0" fontId="6" fillId="0" borderId="89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left" wrapText="1"/>
      <protection/>
    </xf>
    <xf numFmtId="3" fontId="7" fillId="0" borderId="112" xfId="60" applyNumberFormat="1" applyFont="1" applyFill="1" applyBorder="1">
      <alignment/>
      <protection/>
    </xf>
    <xf numFmtId="3" fontId="7" fillId="0" borderId="156" xfId="60" applyNumberFormat="1" applyFont="1" applyFill="1" applyBorder="1">
      <alignment/>
      <protection/>
    </xf>
    <xf numFmtId="0" fontId="6" fillId="0" borderId="114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left" wrapText="1"/>
      <protection/>
    </xf>
    <xf numFmtId="3" fontId="6" fillId="0" borderId="17" xfId="60" applyNumberFormat="1" applyFont="1" applyFill="1" applyBorder="1">
      <alignment/>
      <protection/>
    </xf>
    <xf numFmtId="3" fontId="6" fillId="0" borderId="100" xfId="60" applyNumberFormat="1" applyFont="1" applyFill="1" applyBorder="1">
      <alignment/>
      <protection/>
    </xf>
    <xf numFmtId="0" fontId="7" fillId="0" borderId="32" xfId="60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horizontal="left" wrapText="1"/>
      <protection/>
    </xf>
    <xf numFmtId="3" fontId="7" fillId="0" borderId="68" xfId="60" applyNumberFormat="1" applyFont="1" applyFill="1" applyBorder="1">
      <alignment/>
      <protection/>
    </xf>
    <xf numFmtId="3" fontId="7" fillId="0" borderId="56" xfId="60" applyNumberFormat="1" applyFont="1" applyFill="1" applyBorder="1">
      <alignment/>
      <protection/>
    </xf>
    <xf numFmtId="0" fontId="7" fillId="0" borderId="117" xfId="60" applyFont="1" applyBorder="1" applyAlignment="1">
      <alignment horizontal="center"/>
      <protection/>
    </xf>
    <xf numFmtId="0" fontId="7" fillId="0" borderId="22" xfId="60" applyFont="1" applyBorder="1" applyAlignment="1">
      <alignment horizontal="left" wrapText="1"/>
      <protection/>
    </xf>
    <xf numFmtId="0" fontId="6" fillId="0" borderId="22" xfId="60" applyFont="1" applyBorder="1">
      <alignment/>
      <protection/>
    </xf>
    <xf numFmtId="0" fontId="6" fillId="0" borderId="111" xfId="60" applyFont="1" applyBorder="1">
      <alignment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left"/>
      <protection/>
    </xf>
    <xf numFmtId="0" fontId="10" fillId="0" borderId="0" xfId="67" applyFont="1" applyFill="1" applyAlignment="1">
      <alignment/>
      <protection/>
    </xf>
    <xf numFmtId="0" fontId="72" fillId="0" borderId="0" xfId="67" applyFont="1" applyFill="1" applyAlignment="1">
      <alignment horizontal="right"/>
      <protection/>
    </xf>
    <xf numFmtId="0" fontId="10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0" fillId="0" borderId="0" xfId="67" applyFont="1" applyFill="1" applyAlignment="1">
      <alignment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45" xfId="67" applyFont="1" applyFill="1" applyBorder="1" applyAlignment="1">
      <alignment horizontal="left" vertical="center"/>
      <protection/>
    </xf>
    <xf numFmtId="3" fontId="59" fillId="0" borderId="11" xfId="67" applyNumberFormat="1" applyFont="1" applyFill="1" applyBorder="1" applyAlignment="1">
      <alignment horizontal="right" vertical="center"/>
      <protection/>
    </xf>
    <xf numFmtId="3" fontId="59" fillId="0" borderId="50" xfId="67" applyNumberFormat="1" applyFont="1" applyFill="1" applyBorder="1" applyAlignment="1">
      <alignment horizontal="right" vertical="center"/>
      <protection/>
    </xf>
    <xf numFmtId="3" fontId="11" fillId="0" borderId="0" xfId="67" applyNumberFormat="1" applyFont="1" applyFill="1" applyBorder="1" applyAlignment="1">
      <alignment horizontal="right" vertical="center"/>
      <protection/>
    </xf>
    <xf numFmtId="0" fontId="10" fillId="0" borderId="45" xfId="67" applyFont="1" applyFill="1" applyBorder="1" applyAlignment="1">
      <alignment horizontal="left" vertical="center"/>
      <protection/>
    </xf>
    <xf numFmtId="3" fontId="11" fillId="0" borderId="68" xfId="67" applyNumberFormat="1" applyFont="1" applyFill="1" applyBorder="1" applyAlignment="1">
      <alignment vertical="center"/>
      <protection/>
    </xf>
    <xf numFmtId="3" fontId="11" fillId="0" borderId="50" xfId="67" applyNumberFormat="1" applyFont="1" applyFill="1" applyBorder="1" applyAlignment="1">
      <alignment vertical="center"/>
      <protection/>
    </xf>
    <xf numFmtId="3" fontId="10" fillId="0" borderId="0" xfId="67" applyNumberFormat="1" applyFont="1" applyFill="1" applyBorder="1" applyAlignment="1">
      <alignment vertical="center"/>
      <protection/>
    </xf>
    <xf numFmtId="0" fontId="71" fillId="0" borderId="45" xfId="67" applyFont="1" applyFill="1" applyBorder="1" applyAlignment="1">
      <alignment horizontal="left" vertical="center"/>
      <protection/>
    </xf>
    <xf numFmtId="3" fontId="10" fillId="0" borderId="68" xfId="67" applyNumberFormat="1" applyFont="1" applyFill="1" applyBorder="1" applyAlignment="1">
      <alignment vertical="center"/>
      <protection/>
    </xf>
    <xf numFmtId="3" fontId="10" fillId="0" borderId="50" xfId="67" applyNumberFormat="1" applyFont="1" applyFill="1" applyBorder="1" applyAlignment="1">
      <alignment vertical="center"/>
      <protection/>
    </xf>
    <xf numFmtId="3" fontId="10" fillId="0" borderId="0" xfId="67" applyNumberFormat="1" applyFont="1" applyFill="1" applyBorder="1" applyAlignment="1">
      <alignment horizontal="center" vertical="center"/>
      <protection/>
    </xf>
    <xf numFmtId="0" fontId="10" fillId="0" borderId="45" xfId="67" applyFont="1" applyFill="1" applyBorder="1" applyAlignment="1">
      <alignment horizontal="left" vertical="center" wrapText="1"/>
      <protection/>
    </xf>
    <xf numFmtId="3" fontId="11" fillId="0" borderId="0" xfId="67" applyNumberFormat="1" applyFont="1" applyFill="1" applyBorder="1" applyAlignment="1">
      <alignment vertical="center"/>
      <protection/>
    </xf>
    <xf numFmtId="0" fontId="71" fillId="0" borderId="45" xfId="67" applyFont="1" applyFill="1" applyBorder="1" applyAlignment="1">
      <alignment horizontal="left" vertical="center" wrapText="1"/>
      <protection/>
    </xf>
    <xf numFmtId="0" fontId="11" fillId="0" borderId="45" xfId="67" applyFont="1" applyFill="1" applyBorder="1" applyAlignment="1">
      <alignment vertical="center"/>
      <protection/>
    </xf>
    <xf numFmtId="3" fontId="59" fillId="0" borderId="11" xfId="67" applyNumberFormat="1" applyFont="1" applyFill="1" applyBorder="1" applyAlignment="1">
      <alignment vertical="center"/>
      <protection/>
    </xf>
    <xf numFmtId="3" fontId="59" fillId="0" borderId="50" xfId="67" applyNumberFormat="1" applyFont="1" applyFill="1" applyBorder="1" applyAlignment="1">
      <alignment vertical="center"/>
      <protection/>
    </xf>
    <xf numFmtId="0" fontId="10" fillId="0" borderId="45" xfId="67" applyFont="1" applyFill="1" applyBorder="1" applyAlignment="1">
      <alignment vertical="center"/>
      <protection/>
    </xf>
    <xf numFmtId="0" fontId="10" fillId="0" borderId="45" xfId="67" applyFont="1" applyFill="1" applyBorder="1" applyAlignment="1">
      <alignment horizontal="justify" vertical="center"/>
      <protection/>
    </xf>
    <xf numFmtId="3" fontId="11" fillId="0" borderId="68" xfId="67" applyNumberFormat="1" applyFont="1" applyFill="1" applyBorder="1" applyAlignment="1">
      <alignment horizontal="right" vertical="center"/>
      <protection/>
    </xf>
    <xf numFmtId="3" fontId="11" fillId="0" borderId="50" xfId="67" applyNumberFormat="1" applyFont="1" applyFill="1" applyBorder="1" applyAlignment="1">
      <alignment horizontal="right" vertical="center"/>
      <protection/>
    </xf>
    <xf numFmtId="3" fontId="10" fillId="0" borderId="68" xfId="67" applyNumberFormat="1" applyFont="1" applyFill="1" applyBorder="1" applyAlignment="1">
      <alignment horizontal="right" vertical="center"/>
      <protection/>
    </xf>
    <xf numFmtId="3" fontId="10" fillId="0" borderId="50" xfId="67" applyNumberFormat="1" applyFont="1" applyFill="1" applyBorder="1" applyAlignment="1">
      <alignment horizontal="right" vertical="center"/>
      <protection/>
    </xf>
    <xf numFmtId="3" fontId="10" fillId="0" borderId="68" xfId="67" applyNumberFormat="1" applyFont="1" applyFill="1" applyBorder="1" applyAlignment="1">
      <alignment vertical="center"/>
      <protection/>
    </xf>
    <xf numFmtId="3" fontId="10" fillId="0" borderId="50" xfId="67" applyNumberFormat="1" applyFont="1" applyFill="1" applyBorder="1" applyAlignment="1">
      <alignment vertical="center"/>
      <protection/>
    </xf>
    <xf numFmtId="0" fontId="11" fillId="0" borderId="161" xfId="67" applyFont="1" applyFill="1" applyBorder="1" applyAlignment="1">
      <alignment vertical="center"/>
      <protection/>
    </xf>
    <xf numFmtId="3" fontId="11" fillId="0" borderId="51" xfId="67" applyNumberFormat="1" applyFont="1" applyFill="1" applyBorder="1" applyAlignment="1">
      <alignment vertical="center"/>
      <protection/>
    </xf>
    <xf numFmtId="3" fontId="11" fillId="0" borderId="52" xfId="67" applyNumberFormat="1" applyFont="1" applyFill="1" applyBorder="1" applyAlignment="1">
      <alignment vertical="center"/>
      <protection/>
    </xf>
    <xf numFmtId="0" fontId="30" fillId="0" borderId="0" xfId="67" applyFont="1" applyFill="1" applyBorder="1" applyAlignment="1">
      <alignment vertical="center"/>
      <protection/>
    </xf>
    <xf numFmtId="3" fontId="30" fillId="0" borderId="0" xfId="67" applyNumberFormat="1" applyFont="1" applyFill="1" applyBorder="1" applyAlignment="1">
      <alignment vertical="center"/>
      <protection/>
    </xf>
    <xf numFmtId="0" fontId="11" fillId="0" borderId="0" xfId="67" applyFont="1" applyFill="1" applyBorder="1" applyAlignment="1">
      <alignment vertical="center"/>
      <protection/>
    </xf>
    <xf numFmtId="0" fontId="10" fillId="0" borderId="68" xfId="67" applyFont="1" applyFill="1" applyBorder="1" applyAlignment="1">
      <alignment horizontal="center" vertical="center"/>
      <protection/>
    </xf>
    <xf numFmtId="0" fontId="73" fillId="0" borderId="50" xfId="67" applyFont="1" applyFill="1" applyBorder="1" applyAlignment="1">
      <alignment horizontal="center" vertical="center"/>
      <protection/>
    </xf>
    <xf numFmtId="3" fontId="11" fillId="0" borderId="11" xfId="67" applyNumberFormat="1" applyFont="1" applyFill="1" applyBorder="1" applyAlignment="1">
      <alignment vertical="center"/>
      <protection/>
    </xf>
    <xf numFmtId="3" fontId="11" fillId="0" borderId="68" xfId="67" applyNumberFormat="1" applyFont="1" applyFill="1" applyBorder="1" applyAlignment="1">
      <alignment vertical="center"/>
      <protection/>
    </xf>
    <xf numFmtId="3" fontId="11" fillId="0" borderId="50" xfId="67" applyNumberFormat="1" applyFont="1" applyFill="1" applyBorder="1" applyAlignment="1">
      <alignment vertical="center"/>
      <protection/>
    </xf>
    <xf numFmtId="3" fontId="10" fillId="0" borderId="11" xfId="67" applyNumberFormat="1" applyFont="1" applyFill="1" applyBorder="1" applyAlignment="1">
      <alignment vertical="center"/>
      <protection/>
    </xf>
    <xf numFmtId="3" fontId="10" fillId="0" borderId="68" xfId="67" applyNumberFormat="1" applyFont="1" applyFill="1" applyBorder="1" applyAlignment="1">
      <alignment horizontal="right" vertical="center"/>
      <protection/>
    </xf>
    <xf numFmtId="3" fontId="10" fillId="0" borderId="68" xfId="67" applyNumberFormat="1" applyFont="1" applyFill="1" applyBorder="1" applyAlignment="1">
      <alignment horizontal="right"/>
      <protection/>
    </xf>
    <xf numFmtId="3" fontId="10" fillId="0" borderId="50" xfId="67" applyNumberFormat="1" applyFont="1" applyFill="1" applyBorder="1" applyAlignment="1">
      <alignment horizontal="right" vertical="center"/>
      <protection/>
    </xf>
    <xf numFmtId="0" fontId="11" fillId="0" borderId="45" xfId="67" applyFont="1" applyFill="1" applyBorder="1" applyAlignment="1">
      <alignment horizontal="justify" vertical="center"/>
      <protection/>
    </xf>
    <xf numFmtId="3" fontId="11" fillId="0" borderId="11" xfId="67" applyNumberFormat="1" applyFont="1" applyFill="1" applyBorder="1" applyAlignment="1">
      <alignment horizontal="right" vertical="center"/>
      <protection/>
    </xf>
    <xf numFmtId="3" fontId="11" fillId="0" borderId="50" xfId="67" applyNumberFormat="1" applyFont="1" applyFill="1" applyBorder="1" applyAlignment="1">
      <alignment horizontal="right" vertical="center"/>
      <protection/>
    </xf>
    <xf numFmtId="3" fontId="11" fillId="0" borderId="78" xfId="67" applyNumberFormat="1" applyFont="1" applyFill="1" applyBorder="1" applyAlignment="1">
      <alignment vertical="center"/>
      <protection/>
    </xf>
    <xf numFmtId="3" fontId="11" fillId="0" borderId="54" xfId="67" applyNumberFormat="1" applyFont="1" applyFill="1" applyBorder="1" applyAlignment="1">
      <alignment vertical="center"/>
      <protection/>
    </xf>
    <xf numFmtId="0" fontId="10" fillId="0" borderId="0" xfId="67" applyFont="1" applyFill="1" applyAlignment="1">
      <alignment horizontal="justify"/>
      <protection/>
    </xf>
    <xf numFmtId="0" fontId="10" fillId="0" borderId="84" xfId="67" applyFont="1" applyFill="1" applyBorder="1" applyAlignment="1">
      <alignment horizontal="justify" vertical="center"/>
      <protection/>
    </xf>
    <xf numFmtId="3" fontId="10" fillId="0" borderId="34" xfId="67" applyNumberFormat="1" applyFont="1" applyFill="1" applyBorder="1" applyAlignment="1">
      <alignment vertical="center"/>
      <protection/>
    </xf>
    <xf numFmtId="3" fontId="73" fillId="0" borderId="91" xfId="67" applyNumberFormat="1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justify" vertical="center"/>
      <protection/>
    </xf>
    <xf numFmtId="3" fontId="73" fillId="0" borderId="0" xfId="67" applyNumberFormat="1" applyFont="1" applyFill="1" applyBorder="1" applyAlignment="1">
      <alignment vertical="center"/>
      <protection/>
    </xf>
    <xf numFmtId="0" fontId="38" fillId="0" borderId="0" xfId="0" applyNumberFormat="1" applyFont="1" applyAlignment="1">
      <alignment horizontal="center" vertical="center" wrapText="1"/>
    </xf>
    <xf numFmtId="0" fontId="65" fillId="0" borderId="16" xfId="56" applyFont="1" applyBorder="1" applyAlignment="1">
      <alignment horizontal="center" vertical="center" wrapText="1"/>
      <protection/>
    </xf>
    <xf numFmtId="0" fontId="38" fillId="0" borderId="0" xfId="0" applyFont="1" applyAlignment="1">
      <alignment vertical="center" wrapText="1"/>
    </xf>
    <xf numFmtId="3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56" fillId="0" borderId="154" xfId="66" applyFont="1" applyBorder="1" applyAlignment="1">
      <alignment vertical="center" wrapText="1"/>
      <protection/>
    </xf>
    <xf numFmtId="0" fontId="78" fillId="0" borderId="106" xfId="66" applyFont="1" applyBorder="1" applyAlignment="1">
      <alignment horizontal="center" vertical="center" wrapText="1"/>
      <protection/>
    </xf>
    <xf numFmtId="0" fontId="78" fillId="0" borderId="168" xfId="66" applyFont="1" applyBorder="1" applyAlignment="1">
      <alignment horizontal="center" vertical="center" wrapText="1"/>
      <protection/>
    </xf>
    <xf numFmtId="0" fontId="78" fillId="0" borderId="15" xfId="66" applyFont="1" applyBorder="1" applyAlignment="1">
      <alignment horizontal="center" vertical="center" wrapText="1"/>
      <protection/>
    </xf>
    <xf numFmtId="0" fontId="56" fillId="0" borderId="155" xfId="66" applyFont="1" applyBorder="1">
      <alignment/>
      <protection/>
    </xf>
    <xf numFmtId="0" fontId="56" fillId="0" borderId="96" xfId="66" applyFont="1" applyBorder="1">
      <alignment/>
      <protection/>
    </xf>
    <xf numFmtId="0" fontId="56" fillId="0" borderId="16" xfId="66" applyFont="1" applyBorder="1">
      <alignment/>
      <protection/>
    </xf>
    <xf numFmtId="0" fontId="56" fillId="0" borderId="112" xfId="66" applyFont="1" applyBorder="1">
      <alignment/>
      <protection/>
    </xf>
    <xf numFmtId="3" fontId="56" fillId="0" borderId="16" xfId="66" applyNumberFormat="1" applyFont="1" applyBorder="1">
      <alignment/>
      <protection/>
    </xf>
    <xf numFmtId="0" fontId="56" fillId="0" borderId="175" xfId="66" applyFont="1" applyBorder="1">
      <alignment/>
      <protection/>
    </xf>
    <xf numFmtId="0" fontId="56" fillId="0" borderId="42" xfId="66" applyFont="1" applyBorder="1">
      <alignment/>
      <protection/>
    </xf>
    <xf numFmtId="0" fontId="56" fillId="0" borderId="17" xfId="66" applyFont="1" applyBorder="1">
      <alignment/>
      <protection/>
    </xf>
    <xf numFmtId="0" fontId="56" fillId="0" borderId="74" xfId="66" applyFont="1" applyBorder="1">
      <alignment/>
      <protection/>
    </xf>
    <xf numFmtId="3" fontId="56" fillId="0" borderId="14" xfId="66" applyNumberFormat="1" applyFont="1" applyBorder="1">
      <alignment/>
      <protection/>
    </xf>
    <xf numFmtId="0" fontId="78" fillId="0" borderId="22" xfId="66" applyFont="1" applyBorder="1" applyAlignment="1">
      <alignment vertical="center"/>
      <protection/>
    </xf>
    <xf numFmtId="0" fontId="78" fillId="0" borderId="157" xfId="66" applyFont="1" applyBorder="1" applyAlignment="1">
      <alignment horizontal="center" vertical="center"/>
      <protection/>
    </xf>
    <xf numFmtId="0" fontId="78" fillId="35" borderId="22" xfId="66" applyFont="1" applyFill="1" applyBorder="1" applyAlignment="1">
      <alignment horizontal="center" vertical="center"/>
      <protection/>
    </xf>
    <xf numFmtId="3" fontId="78" fillId="35" borderId="22" xfId="66" applyNumberFormat="1" applyFont="1" applyFill="1" applyBorder="1" applyAlignment="1">
      <alignment vertical="center"/>
      <protection/>
    </xf>
    <xf numFmtId="3" fontId="78" fillId="0" borderId="22" xfId="66" applyNumberFormat="1" applyFont="1" applyBorder="1" applyAlignment="1">
      <alignment vertical="center"/>
      <protection/>
    </xf>
    <xf numFmtId="0" fontId="38" fillId="0" borderId="0" xfId="0" applyFont="1" applyAlignment="1">
      <alignment horizontal="center"/>
    </xf>
    <xf numFmtId="0" fontId="0" fillId="0" borderId="0" xfId="65">
      <alignment/>
      <protection/>
    </xf>
    <xf numFmtId="0" fontId="64" fillId="0" borderId="16" xfId="65" applyFont="1" applyBorder="1" applyAlignment="1">
      <alignment horizontal="center" vertical="center" wrapText="1"/>
      <protection/>
    </xf>
    <xf numFmtId="0" fontId="64" fillId="0" borderId="94" xfId="65" applyFont="1" applyBorder="1" applyAlignment="1">
      <alignment horizontal="center" vertical="center" wrapText="1"/>
      <protection/>
    </xf>
    <xf numFmtId="0" fontId="79" fillId="0" borderId="89" xfId="65" applyFont="1" applyBorder="1" applyAlignment="1">
      <alignment horizontal="center"/>
      <protection/>
    </xf>
    <xf numFmtId="0" fontId="79" fillId="0" borderId="16" xfId="65" applyFont="1" applyBorder="1" applyAlignment="1">
      <alignment horizontal="left" wrapText="1"/>
      <protection/>
    </xf>
    <xf numFmtId="0" fontId="79" fillId="0" borderId="16" xfId="65" applyFont="1" applyBorder="1" applyAlignment="1">
      <alignment horizontal="right" wrapText="1"/>
      <protection/>
    </xf>
    <xf numFmtId="3" fontId="79" fillId="0" borderId="94" xfId="65" applyNumberFormat="1" applyFont="1" applyBorder="1" applyAlignment="1">
      <alignment horizontal="right" wrapText="1"/>
      <protection/>
    </xf>
    <xf numFmtId="0" fontId="79" fillId="0" borderId="127" xfId="65" applyFont="1" applyBorder="1" applyAlignment="1">
      <alignment horizontal="center"/>
      <protection/>
    </xf>
    <xf numFmtId="0" fontId="64" fillId="0" borderId="12" xfId="65" applyFont="1" applyBorder="1" applyAlignment="1">
      <alignment horizontal="left" wrapText="1"/>
      <protection/>
    </xf>
    <xf numFmtId="0" fontId="64" fillId="0" borderId="12" xfId="65" applyFont="1" applyBorder="1" applyAlignment="1">
      <alignment horizontal="right" wrapText="1"/>
      <protection/>
    </xf>
    <xf numFmtId="3" fontId="64" fillId="0" borderId="46" xfId="65" applyNumberFormat="1" applyFont="1" applyBorder="1" applyAlignment="1">
      <alignment horizontal="right" wrapText="1"/>
      <protection/>
    </xf>
    <xf numFmtId="0" fontId="64" fillId="0" borderId="16" xfId="65" applyFont="1" applyBorder="1" applyAlignment="1">
      <alignment horizontal="right" wrapText="1"/>
      <protection/>
    </xf>
    <xf numFmtId="0" fontId="64" fillId="0" borderId="94" xfId="65" applyFont="1" applyBorder="1" applyAlignment="1">
      <alignment horizontal="right" wrapText="1"/>
      <protection/>
    </xf>
    <xf numFmtId="0" fontId="79" fillId="0" borderId="16" xfId="65" applyFont="1" applyBorder="1" applyAlignment="1">
      <alignment wrapText="1"/>
      <protection/>
    </xf>
    <xf numFmtId="3" fontId="79" fillId="0" borderId="16" xfId="65" applyNumberFormat="1" applyFont="1" applyBorder="1" applyAlignment="1">
      <alignment horizontal="right"/>
      <protection/>
    </xf>
    <xf numFmtId="3" fontId="79" fillId="0" borderId="94" xfId="65" applyNumberFormat="1" applyFont="1" applyBorder="1" applyAlignment="1">
      <alignment horizontal="right"/>
      <protection/>
    </xf>
    <xf numFmtId="0" fontId="64" fillId="0" borderId="125" xfId="65" applyFont="1" applyBorder="1" applyAlignment="1">
      <alignment horizontal="center"/>
      <protection/>
    </xf>
    <xf numFmtId="0" fontId="82" fillId="0" borderId="43" xfId="65" applyFont="1" applyBorder="1">
      <alignment/>
      <protection/>
    </xf>
    <xf numFmtId="3" fontId="83" fillId="0" borderId="43" xfId="65" applyNumberFormat="1" applyFont="1" applyBorder="1" applyAlignment="1">
      <alignment horizontal="right"/>
      <protection/>
    </xf>
    <xf numFmtId="0" fontId="64" fillId="0" borderId="59" xfId="65" applyFont="1" applyBorder="1" applyAlignment="1">
      <alignment horizontal="center"/>
      <protection/>
    </xf>
    <xf numFmtId="0" fontId="84" fillId="0" borderId="21" xfId="65" applyFont="1" applyBorder="1">
      <alignment/>
      <protection/>
    </xf>
    <xf numFmtId="3" fontId="64" fillId="0" borderId="21" xfId="65" applyNumberFormat="1" applyFont="1" applyBorder="1" applyAlignment="1">
      <alignment horizontal="right"/>
      <protection/>
    </xf>
    <xf numFmtId="3" fontId="64" fillId="0" borderId="61" xfId="65" applyNumberFormat="1" applyFont="1" applyBorder="1" applyAlignment="1">
      <alignment horizontal="right"/>
      <protection/>
    </xf>
    <xf numFmtId="0" fontId="64" fillId="0" borderId="127" xfId="65" applyFont="1" applyBorder="1" applyAlignment="1">
      <alignment horizontal="center"/>
      <protection/>
    </xf>
    <xf numFmtId="0" fontId="84" fillId="0" borderId="12" xfId="65" applyFont="1" applyBorder="1">
      <alignment/>
      <protection/>
    </xf>
    <xf numFmtId="3" fontId="64" fillId="0" borderId="12" xfId="65" applyNumberFormat="1" applyFont="1" applyBorder="1" applyAlignment="1">
      <alignment horizontal="right"/>
      <protection/>
    </xf>
    <xf numFmtId="3" fontId="64" fillId="0" borderId="46" xfId="65" applyNumberFormat="1" applyFont="1" applyBorder="1" applyAlignment="1">
      <alignment horizontal="right"/>
      <protection/>
    </xf>
    <xf numFmtId="0" fontId="64" fillId="0" borderId="170" xfId="65" applyFont="1" applyBorder="1" applyAlignment="1">
      <alignment horizontal="center"/>
      <protection/>
    </xf>
    <xf numFmtId="0" fontId="85" fillId="0" borderId="147" xfId="65" applyFont="1" applyBorder="1">
      <alignment/>
      <protection/>
    </xf>
    <xf numFmtId="3" fontId="79" fillId="0" borderId="147" xfId="65" applyNumberFormat="1" applyFont="1" applyBorder="1" applyAlignment="1">
      <alignment horizontal="right"/>
      <protection/>
    </xf>
    <xf numFmtId="3" fontId="79" fillId="0" borderId="176" xfId="65" applyNumberFormat="1" applyFont="1" applyBorder="1" applyAlignment="1">
      <alignment horizontal="right"/>
      <protection/>
    </xf>
    <xf numFmtId="0" fontId="64" fillId="0" borderId="21" xfId="65" applyFont="1" applyBorder="1">
      <alignment/>
      <protection/>
    </xf>
    <xf numFmtId="0" fontId="64" fillId="0" borderId="12" xfId="65" applyFont="1" applyBorder="1">
      <alignment/>
      <protection/>
    </xf>
    <xf numFmtId="0" fontId="64" fillId="0" borderId="45" xfId="65" applyFont="1" applyBorder="1" applyAlignment="1">
      <alignment horizontal="center"/>
      <protection/>
    </xf>
    <xf numFmtId="0" fontId="64" fillId="0" borderId="11" xfId="65" applyFont="1" applyBorder="1">
      <alignment/>
      <protection/>
    </xf>
    <xf numFmtId="3" fontId="79" fillId="0" borderId="11" xfId="65" applyNumberFormat="1" applyFont="1" applyBorder="1" applyAlignment="1">
      <alignment horizontal="right"/>
      <protection/>
    </xf>
    <xf numFmtId="3" fontId="79" fillId="0" borderId="50" xfId="65" applyNumberFormat="1" applyFont="1" applyBorder="1" applyAlignment="1">
      <alignment horizontal="right"/>
      <protection/>
    </xf>
    <xf numFmtId="0" fontId="79" fillId="0" borderId="125" xfId="65" applyFont="1" applyBorder="1" applyAlignment="1">
      <alignment horizontal="center"/>
      <protection/>
    </xf>
    <xf numFmtId="0" fontId="79" fillId="0" borderId="43" xfId="65" applyFont="1" applyFill="1" applyBorder="1" applyAlignment="1">
      <alignment wrapText="1"/>
      <protection/>
    </xf>
    <xf numFmtId="0" fontId="64" fillId="0" borderId="43" xfId="65" applyFont="1" applyBorder="1" applyAlignment="1">
      <alignment horizontal="center"/>
      <protection/>
    </xf>
    <xf numFmtId="0" fontId="64" fillId="0" borderId="177" xfId="65" applyFont="1" applyBorder="1" applyAlignment="1">
      <alignment horizontal="center"/>
      <protection/>
    </xf>
    <xf numFmtId="0" fontId="64" fillId="0" borderId="12" xfId="65" applyFont="1" applyFill="1" applyBorder="1">
      <alignment/>
      <protection/>
    </xf>
    <xf numFmtId="0" fontId="84" fillId="0" borderId="12" xfId="65" applyFont="1" applyFill="1" applyBorder="1">
      <alignment/>
      <protection/>
    </xf>
    <xf numFmtId="3" fontId="0" fillId="0" borderId="0" xfId="65" applyNumberFormat="1" applyFont="1">
      <alignment/>
      <protection/>
    </xf>
    <xf numFmtId="0" fontId="64" fillId="0" borderId="60" xfId="65" applyFont="1" applyBorder="1" applyAlignment="1">
      <alignment horizontal="center"/>
      <protection/>
    </xf>
    <xf numFmtId="0" fontId="64" fillId="0" borderId="10" xfId="65" applyFont="1" applyFill="1" applyBorder="1">
      <alignment/>
      <protection/>
    </xf>
    <xf numFmtId="0" fontId="64" fillId="0" borderId="178" xfId="65" applyFont="1" applyBorder="1" applyAlignment="1">
      <alignment horizontal="center"/>
      <protection/>
    </xf>
    <xf numFmtId="0" fontId="64" fillId="0" borderId="16" xfId="65" applyFont="1" applyBorder="1" applyAlignment="1">
      <alignment horizontal="center"/>
      <protection/>
    </xf>
    <xf numFmtId="0" fontId="64" fillId="0" borderId="94" xfId="65" applyFont="1" applyBorder="1" applyAlignment="1">
      <alignment horizontal="center"/>
      <protection/>
    </xf>
    <xf numFmtId="0" fontId="64" fillId="0" borderId="104" xfId="65" applyFont="1" applyBorder="1" applyAlignment="1">
      <alignment horizontal="center"/>
      <protection/>
    </xf>
    <xf numFmtId="0" fontId="64" fillId="0" borderId="14" xfId="65" applyFont="1" applyBorder="1" applyAlignment="1">
      <alignment wrapText="1"/>
      <protection/>
    </xf>
    <xf numFmtId="0" fontId="83" fillId="0" borderId="14" xfId="65" applyFont="1" applyBorder="1" applyAlignment="1" quotePrefix="1">
      <alignment horizontal="right"/>
      <protection/>
    </xf>
    <xf numFmtId="3" fontId="83" fillId="0" borderId="44" xfId="65" applyNumberFormat="1" applyFont="1" applyBorder="1" applyAlignment="1" quotePrefix="1">
      <alignment horizontal="right"/>
      <protection/>
    </xf>
    <xf numFmtId="0" fontId="84" fillId="0" borderId="127" xfId="65" applyFont="1" applyBorder="1" applyAlignment="1">
      <alignment horizontal="center"/>
      <protection/>
    </xf>
    <xf numFmtId="0" fontId="84" fillId="0" borderId="12" xfId="65" applyFont="1" applyBorder="1" applyAlignment="1">
      <alignment wrapText="1"/>
      <protection/>
    </xf>
    <xf numFmtId="3" fontId="65" fillId="0" borderId="12" xfId="65" applyNumberFormat="1" applyFont="1" applyBorder="1" applyAlignment="1" quotePrefix="1">
      <alignment horizontal="right"/>
      <protection/>
    </xf>
    <xf numFmtId="3" fontId="65" fillId="0" borderId="46" xfId="65" applyNumberFormat="1" applyFont="1" applyBorder="1" applyAlignment="1" quotePrefix="1">
      <alignment horizontal="right"/>
      <protection/>
    </xf>
    <xf numFmtId="0" fontId="84" fillId="0" borderId="60" xfId="65" applyFont="1" applyBorder="1" applyAlignment="1">
      <alignment horizontal="center"/>
      <protection/>
    </xf>
    <xf numFmtId="0" fontId="84" fillId="0" borderId="10" xfId="65" applyFont="1" applyBorder="1" applyAlignment="1">
      <alignment wrapText="1"/>
      <protection/>
    </xf>
    <xf numFmtId="3" fontId="65" fillId="0" borderId="10" xfId="65" applyNumberFormat="1" applyFont="1" applyBorder="1" applyAlignment="1" quotePrefix="1">
      <alignment horizontal="right"/>
      <protection/>
    </xf>
    <xf numFmtId="3" fontId="65" fillId="0" borderId="153" xfId="65" applyNumberFormat="1" applyFont="1" applyBorder="1" applyAlignment="1">
      <alignment horizontal="right"/>
      <protection/>
    </xf>
    <xf numFmtId="0" fontId="64" fillId="0" borderId="10" xfId="65" applyFont="1" applyBorder="1" applyAlignment="1">
      <alignment wrapText="1"/>
      <protection/>
    </xf>
    <xf numFmtId="3" fontId="64" fillId="0" borderId="10" xfId="65" applyNumberFormat="1" applyFont="1" applyBorder="1" applyAlignment="1" quotePrefix="1">
      <alignment horizontal="right"/>
      <protection/>
    </xf>
    <xf numFmtId="3" fontId="64" fillId="0" borderId="153" xfId="65" applyNumberFormat="1" applyFont="1" applyBorder="1" applyAlignment="1" quotePrefix="1">
      <alignment horizontal="right"/>
      <protection/>
    </xf>
    <xf numFmtId="164" fontId="65" fillId="0" borderId="10" xfId="65" applyNumberFormat="1" applyFont="1" applyBorder="1" applyAlignment="1" quotePrefix="1">
      <alignment horizontal="right"/>
      <protection/>
    </xf>
    <xf numFmtId="3" fontId="65" fillId="0" borderId="153" xfId="65" applyNumberFormat="1" applyFont="1" applyBorder="1" applyAlignment="1" quotePrefix="1">
      <alignment horizontal="right"/>
      <protection/>
    </xf>
    <xf numFmtId="0" fontId="79" fillId="0" borderId="178" xfId="65" applyFont="1" applyBorder="1" applyAlignment="1">
      <alignment horizontal="center"/>
      <protection/>
    </xf>
    <xf numFmtId="0" fontId="85" fillId="0" borderId="147" xfId="65" applyFont="1" applyBorder="1" applyAlignment="1">
      <alignment wrapText="1"/>
      <protection/>
    </xf>
    <xf numFmtId="3" fontId="64" fillId="0" borderId="147" xfId="65" applyNumberFormat="1" applyFont="1" applyBorder="1" applyAlignment="1" quotePrefix="1">
      <alignment horizontal="right"/>
      <protection/>
    </xf>
    <xf numFmtId="3" fontId="64" fillId="0" borderId="176" xfId="65" applyNumberFormat="1" applyFont="1" applyBorder="1" applyAlignment="1" quotePrefix="1">
      <alignment horizontal="right"/>
      <protection/>
    </xf>
    <xf numFmtId="0" fontId="61" fillId="0" borderId="0" xfId="65" applyFont="1">
      <alignment/>
      <protection/>
    </xf>
    <xf numFmtId="0" fontId="58" fillId="0" borderId="0" xfId="65" applyFont="1">
      <alignment/>
      <protection/>
    </xf>
    <xf numFmtId="0" fontId="87" fillId="0" borderId="0" xfId="65" applyFont="1" applyAlignment="1">
      <alignment horizontal="right"/>
      <protection/>
    </xf>
    <xf numFmtId="0" fontId="27" fillId="0" borderId="0" xfId="65" applyFont="1" applyAlignment="1">
      <alignment wrapText="1"/>
      <protection/>
    </xf>
    <xf numFmtId="0" fontId="27" fillId="0" borderId="0" xfId="65" applyFont="1" applyAlignment="1">
      <alignment horizontal="left" wrapText="1"/>
      <protection/>
    </xf>
    <xf numFmtId="0" fontId="89" fillId="0" borderId="0" xfId="65" applyFont="1" applyAlignment="1">
      <alignment horizontal="center"/>
      <protection/>
    </xf>
    <xf numFmtId="0" fontId="89" fillId="0" borderId="0" xfId="65" applyFont="1">
      <alignment/>
      <protection/>
    </xf>
    <xf numFmtId="0" fontId="65" fillId="0" borderId="0" xfId="56" applyFont="1">
      <alignment/>
      <protection/>
    </xf>
    <xf numFmtId="0" fontId="65" fillId="0" borderId="0" xfId="56" applyFont="1" applyAlignment="1">
      <alignment horizontal="center" vertical="center" wrapText="1"/>
      <protection/>
    </xf>
    <xf numFmtId="0" fontId="65" fillId="0" borderId="0" xfId="56" applyFont="1" applyAlignment="1">
      <alignment horizontal="left"/>
      <protection/>
    </xf>
    <xf numFmtId="3" fontId="65" fillId="0" borderId="0" xfId="56" applyNumberFormat="1" applyFont="1">
      <alignment/>
      <protection/>
    </xf>
    <xf numFmtId="3" fontId="23" fillId="0" borderId="0" xfId="56" applyNumberFormat="1" applyFont="1">
      <alignment/>
      <protection/>
    </xf>
    <xf numFmtId="3" fontId="23" fillId="0" borderId="0" xfId="56" applyNumberFormat="1" applyFont="1" applyAlignment="1">
      <alignment horizontal="right"/>
      <protection/>
    </xf>
    <xf numFmtId="0" fontId="56" fillId="0" borderId="0" xfId="56">
      <alignment/>
      <protection/>
    </xf>
    <xf numFmtId="0" fontId="60" fillId="0" borderId="0" xfId="56" applyFont="1" applyAlignment="1">
      <alignment horizontal="center" vertical="center" wrapText="1"/>
      <protection/>
    </xf>
    <xf numFmtId="3" fontId="65" fillId="0" borderId="16" xfId="56" applyNumberFormat="1" applyFont="1" applyBorder="1" applyAlignment="1">
      <alignment horizontal="center" vertical="center" wrapText="1"/>
      <protection/>
    </xf>
    <xf numFmtId="0" fontId="90" fillId="0" borderId="0" xfId="56" applyFont="1" applyAlignment="1">
      <alignment horizontal="center" vertical="center" wrapText="1"/>
      <protection/>
    </xf>
    <xf numFmtId="0" fontId="65" fillId="0" borderId="16" xfId="56" applyFont="1" applyBorder="1">
      <alignment/>
      <protection/>
    </xf>
    <xf numFmtId="3" fontId="65" fillId="0" borderId="86" xfId="68" applyNumberFormat="1" applyFont="1" applyBorder="1">
      <alignment/>
      <protection/>
    </xf>
    <xf numFmtId="3" fontId="65" fillId="0" borderId="86" xfId="68" applyNumberFormat="1" applyFont="1" applyBorder="1" applyAlignment="1">
      <alignment horizontal="right"/>
      <protection/>
    </xf>
    <xf numFmtId="3" fontId="65" fillId="0" borderId="16" xfId="56" applyNumberFormat="1" applyFont="1" applyBorder="1">
      <alignment/>
      <protection/>
    </xf>
    <xf numFmtId="3" fontId="65" fillId="0" borderId="16" xfId="68" applyNumberFormat="1" applyFont="1" applyBorder="1">
      <alignment/>
      <protection/>
    </xf>
    <xf numFmtId="3" fontId="65" fillId="0" borderId="16" xfId="68" applyNumberFormat="1" applyFont="1" applyBorder="1" applyAlignment="1">
      <alignment horizontal="right"/>
      <protection/>
    </xf>
    <xf numFmtId="3" fontId="65" fillId="0" borderId="16" xfId="68" applyNumberFormat="1" applyFont="1" applyBorder="1" applyAlignment="1">
      <alignment/>
      <protection/>
    </xf>
    <xf numFmtId="3" fontId="23" fillId="0" borderId="16" xfId="56" applyNumberFormat="1" applyFont="1" applyBorder="1">
      <alignment/>
      <protection/>
    </xf>
    <xf numFmtId="0" fontId="78" fillId="0" borderId="0" xfId="56" applyFont="1">
      <alignment/>
      <protection/>
    </xf>
    <xf numFmtId="0" fontId="23" fillId="0" borderId="16" xfId="56" applyFont="1" applyBorder="1">
      <alignment/>
      <protection/>
    </xf>
    <xf numFmtId="3" fontId="23" fillId="0" borderId="16" xfId="68" applyNumberFormat="1" applyFont="1" applyBorder="1">
      <alignment/>
      <protection/>
    </xf>
    <xf numFmtId="3" fontId="23" fillId="0" borderId="14" xfId="68" applyNumberFormat="1" applyFont="1" applyBorder="1" applyAlignment="1">
      <alignment horizontal="right"/>
      <protection/>
    </xf>
    <xf numFmtId="0" fontId="78" fillId="0" borderId="0" xfId="56" applyFont="1">
      <alignment/>
      <protection/>
    </xf>
    <xf numFmtId="3" fontId="65" fillId="0" borderId="0" xfId="56" applyNumberFormat="1" applyFont="1" applyAlignment="1">
      <alignment horizontal="right"/>
      <protection/>
    </xf>
    <xf numFmtId="3" fontId="65" fillId="0" borderId="0" xfId="56" applyNumberFormat="1" applyFont="1" applyAlignment="1">
      <alignment horizontal="left"/>
      <protection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6" xfId="0" applyFont="1" applyBorder="1" applyAlignment="1">
      <alignment/>
    </xf>
    <xf numFmtId="49" fontId="20" fillId="0" borderId="16" xfId="0" applyNumberFormat="1" applyFont="1" applyFill="1" applyBorder="1" applyAlignment="1">
      <alignment vertical="center" shrinkToFit="1"/>
    </xf>
    <xf numFmtId="0" fontId="24" fillId="0" borderId="16" xfId="0" applyFont="1" applyFill="1" applyBorder="1" applyAlignment="1">
      <alignment horizontal="justify" vertical="center" shrinkToFit="1"/>
    </xf>
    <xf numFmtId="49" fontId="20" fillId="0" borderId="16" xfId="0" applyNumberFormat="1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wrapText="1"/>
    </xf>
    <xf numFmtId="49" fontId="20" fillId="0" borderId="16" xfId="0" applyNumberFormat="1" applyFont="1" applyFill="1" applyBorder="1" applyAlignment="1">
      <alignment horizontal="justify" vertical="center" shrinkToFit="1"/>
    </xf>
    <xf numFmtId="0" fontId="6" fillId="0" borderId="0" xfId="62" applyFont="1">
      <alignment/>
      <protection/>
    </xf>
    <xf numFmtId="0" fontId="56" fillId="0" borderId="0" xfId="62">
      <alignment/>
      <protection/>
    </xf>
    <xf numFmtId="0" fontId="60" fillId="0" borderId="118" xfId="62" applyFont="1" applyBorder="1" applyAlignment="1">
      <alignment horizontal="center" wrapText="1"/>
      <protection/>
    </xf>
    <xf numFmtId="0" fontId="56" fillId="0" borderId="32" xfId="62" applyBorder="1">
      <alignment/>
      <protection/>
    </xf>
    <xf numFmtId="0" fontId="6" fillId="0" borderId="0" xfId="62" applyFont="1" applyBorder="1" applyAlignment="1">
      <alignment horizontal="center" wrapText="1" shrinkToFit="1"/>
      <protection/>
    </xf>
    <xf numFmtId="3" fontId="7" fillId="0" borderId="0" xfId="62" applyNumberFormat="1" applyFont="1" applyBorder="1" applyAlignment="1">
      <alignment horizontal="right"/>
      <protection/>
    </xf>
    <xf numFmtId="0" fontId="6" fillId="0" borderId="0" xfId="62" applyFont="1" applyBorder="1" applyAlignment="1">
      <alignment horizontal="right"/>
      <protection/>
    </xf>
    <xf numFmtId="3" fontId="6" fillId="0" borderId="0" xfId="62" applyNumberFormat="1" applyFont="1" applyBorder="1" applyAlignment="1">
      <alignment horizontal="right"/>
      <protection/>
    </xf>
    <xf numFmtId="3" fontId="6" fillId="0" borderId="17" xfId="62" applyNumberFormat="1" applyFont="1" applyBorder="1" applyAlignment="1">
      <alignment horizontal="right"/>
      <protection/>
    </xf>
    <xf numFmtId="3" fontId="6" fillId="0" borderId="32" xfId="62" applyNumberFormat="1" applyFont="1" applyBorder="1">
      <alignment/>
      <protection/>
    </xf>
    <xf numFmtId="3" fontId="6" fillId="0" borderId="27" xfId="62" applyNumberFormat="1" applyFont="1" applyBorder="1">
      <alignment/>
      <protection/>
    </xf>
    <xf numFmtId="0" fontId="64" fillId="0" borderId="0" xfId="62" applyFont="1">
      <alignment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79" xfId="62" applyFont="1" applyBorder="1" applyAlignment="1">
      <alignment horizontal="center" vertical="center"/>
      <protection/>
    </xf>
    <xf numFmtId="0" fontId="7" fillId="0" borderId="44" xfId="62" applyFont="1" applyBorder="1" applyAlignment="1">
      <alignment horizontal="center" vertical="center"/>
      <protection/>
    </xf>
    <xf numFmtId="0" fontId="7" fillId="0" borderId="175" xfId="62" applyFont="1" applyBorder="1" applyAlignment="1">
      <alignment horizontal="center" vertical="center"/>
      <protection/>
    </xf>
    <xf numFmtId="0" fontId="76" fillId="0" borderId="117" xfId="62" applyFont="1" applyBorder="1" applyAlignment="1">
      <alignment vertical="center" wrapText="1"/>
      <protection/>
    </xf>
    <xf numFmtId="3" fontId="76" fillId="0" borderId="22" xfId="62" applyNumberFormat="1" applyFont="1" applyBorder="1" applyAlignment="1">
      <alignment horizontal="right" vertical="center"/>
      <protection/>
    </xf>
    <xf numFmtId="3" fontId="76" fillId="0" borderId="118" xfId="62" applyNumberFormat="1" applyFont="1" applyBorder="1" applyAlignment="1">
      <alignment horizontal="right" vertical="center"/>
      <protection/>
    </xf>
    <xf numFmtId="3" fontId="76" fillId="0" borderId="111" xfId="62" applyNumberFormat="1" applyFont="1" applyBorder="1" applyAlignment="1">
      <alignment horizontal="right" vertical="center"/>
      <protection/>
    </xf>
    <xf numFmtId="3" fontId="76" fillId="0" borderId="121" xfId="62" applyNumberFormat="1" applyFont="1" applyBorder="1" applyAlignment="1">
      <alignment horizontal="right" vertical="center"/>
      <protection/>
    </xf>
    <xf numFmtId="0" fontId="6" fillId="0" borderId="45" xfId="62" applyFont="1" applyBorder="1" applyAlignment="1">
      <alignment vertical="center" wrapText="1"/>
      <protection/>
    </xf>
    <xf numFmtId="3" fontId="6" fillId="0" borderId="11" xfId="62" applyNumberFormat="1" applyFont="1" applyBorder="1" applyAlignment="1">
      <alignment horizontal="right" vertical="center"/>
      <protection/>
    </xf>
    <xf numFmtId="3" fontId="6" fillId="0" borderId="180" xfId="62" applyNumberFormat="1" applyFont="1" applyBorder="1" applyAlignment="1">
      <alignment horizontal="right" vertical="center"/>
      <protection/>
    </xf>
    <xf numFmtId="0" fontId="6" fillId="0" borderId="89" xfId="62" applyFont="1" applyBorder="1" applyAlignment="1">
      <alignment vertical="center" wrapText="1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107" xfId="62" applyNumberFormat="1" applyFont="1" applyBorder="1" applyAlignment="1">
      <alignment horizontal="right" vertical="center"/>
      <protection/>
    </xf>
    <xf numFmtId="3" fontId="6" fillId="0" borderId="93" xfId="62" applyNumberFormat="1" applyFont="1" applyBorder="1" applyAlignment="1">
      <alignment horizontal="right" vertical="center"/>
      <protection/>
    </xf>
    <xf numFmtId="0" fontId="6" fillId="0" borderId="89" xfId="62" applyFont="1" applyBorder="1" applyAlignment="1">
      <alignment wrapText="1"/>
      <protection/>
    </xf>
    <xf numFmtId="0" fontId="6" fillId="0" borderId="92" xfId="62" applyFont="1" applyBorder="1" applyAlignment="1">
      <alignment vertical="center" wrapText="1"/>
      <protection/>
    </xf>
    <xf numFmtId="3" fontId="6" fillId="0" borderId="86" xfId="62" applyNumberFormat="1" applyFont="1" applyBorder="1" applyAlignment="1">
      <alignment horizontal="right" vertical="center"/>
      <protection/>
    </xf>
    <xf numFmtId="3" fontId="6" fillId="0" borderId="119" xfId="62" applyNumberFormat="1" applyFont="1" applyBorder="1" applyAlignment="1">
      <alignment horizontal="right" vertical="center"/>
      <protection/>
    </xf>
    <xf numFmtId="0" fontId="6" fillId="0" borderId="92" xfId="62" applyFont="1" applyBorder="1" applyAlignment="1">
      <alignment wrapText="1"/>
      <protection/>
    </xf>
    <xf numFmtId="1" fontId="6" fillId="0" borderId="86" xfId="62" applyNumberFormat="1" applyFont="1" applyBorder="1" applyAlignment="1">
      <alignment horizontal="right" vertical="center"/>
      <protection/>
    </xf>
    <xf numFmtId="1" fontId="6" fillId="0" borderId="102" xfId="62" applyNumberFormat="1" applyFont="1" applyBorder="1" applyAlignment="1">
      <alignment horizontal="right" vertical="center"/>
      <protection/>
    </xf>
    <xf numFmtId="0" fontId="56" fillId="0" borderId="0" xfId="62" applyFont="1" applyAlignment="1">
      <alignment horizontal="center"/>
      <protection/>
    </xf>
    <xf numFmtId="0" fontId="7" fillId="0" borderId="117" xfId="62" applyFont="1" applyBorder="1" applyAlignment="1">
      <alignment horizontal="left" vertical="center" wrapText="1"/>
      <protection/>
    </xf>
    <xf numFmtId="3" fontId="76" fillId="0" borderId="22" xfId="62" applyNumberFormat="1" applyFont="1" applyBorder="1" applyAlignment="1">
      <alignment horizontal="right" wrapText="1"/>
      <protection/>
    </xf>
    <xf numFmtId="3" fontId="76" fillId="0" borderId="22" xfId="62" applyNumberFormat="1" applyFont="1" applyBorder="1" applyAlignment="1">
      <alignment horizontal="right"/>
      <protection/>
    </xf>
    <xf numFmtId="3" fontId="20" fillId="0" borderId="38" xfId="0" applyNumberFormat="1" applyFont="1" applyFill="1" applyBorder="1" applyAlignment="1">
      <alignment horizontal="right" vertical="center" shrinkToFit="1"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3" fontId="19" fillId="0" borderId="13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horizontal="right" vertical="center"/>
    </xf>
    <xf numFmtId="3" fontId="18" fillId="0" borderId="94" xfId="0" applyNumberFormat="1" applyFont="1" applyFill="1" applyBorder="1" applyAlignment="1">
      <alignment horizontal="right" vertical="center"/>
    </xf>
    <xf numFmtId="3" fontId="18" fillId="0" borderId="155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 vertical="center"/>
    </xf>
    <xf numFmtId="3" fontId="18" fillId="0" borderId="16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9" fillId="0" borderId="22" xfId="0" applyNumberFormat="1" applyFont="1" applyFill="1" applyBorder="1" applyAlignment="1">
      <alignment horizontal="right" vertical="center"/>
    </xf>
    <xf numFmtId="3" fontId="19" fillId="0" borderId="121" xfId="0" applyNumberFormat="1" applyFont="1" applyFill="1" applyBorder="1" applyAlignment="1">
      <alignment horizontal="right" vertical="center"/>
    </xf>
    <xf numFmtId="0" fontId="18" fillId="0" borderId="15" xfId="0" applyFont="1" applyBorder="1" applyAlignment="1">
      <alignment horizontal="right"/>
    </xf>
    <xf numFmtId="0" fontId="18" fillId="0" borderId="181" xfId="0" applyFont="1" applyBorder="1" applyAlignment="1">
      <alignment horizontal="right"/>
    </xf>
    <xf numFmtId="0" fontId="18" fillId="0" borderId="154" xfId="0" applyFon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8" fillId="0" borderId="107" xfId="0" applyNumberFormat="1" applyFont="1" applyBorder="1" applyAlignment="1">
      <alignment horizontal="right"/>
    </xf>
    <xf numFmtId="3" fontId="18" fillId="0" borderId="155" xfId="0" applyNumberFormat="1" applyFont="1" applyBorder="1" applyAlignment="1">
      <alignment horizontal="right"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9" fillId="0" borderId="0" xfId="0" applyFont="1" applyAlignment="1">
      <alignment/>
    </xf>
    <xf numFmtId="0" fontId="91" fillId="0" borderId="0" xfId="0" applyFont="1" applyAlignment="1">
      <alignment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8" fillId="0" borderId="16" xfId="0" applyFont="1" applyBorder="1" applyAlignment="1" quotePrefix="1">
      <alignment/>
    </xf>
    <xf numFmtId="0" fontId="26" fillId="0" borderId="16" xfId="0" applyFont="1" applyBorder="1" applyAlignment="1" quotePrefix="1">
      <alignment horizontal="left" indent="2"/>
    </xf>
    <xf numFmtId="3" fontId="26" fillId="0" borderId="16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9" fillId="0" borderId="153" xfId="59" applyNumberFormat="1" applyFont="1" applyFill="1" applyBorder="1" applyAlignment="1">
      <alignment vertical="center"/>
      <protection/>
    </xf>
    <xf numFmtId="0" fontId="18" fillId="0" borderId="91" xfId="70" applyFont="1" applyBorder="1" applyAlignment="1">
      <alignment vertical="center"/>
      <protection/>
    </xf>
    <xf numFmtId="3" fontId="18" fillId="0" borderId="10" xfId="59" applyNumberFormat="1" applyFont="1" applyFill="1" applyBorder="1" applyAlignment="1">
      <alignment vertical="center"/>
      <protection/>
    </xf>
    <xf numFmtId="0" fontId="18" fillId="0" borderId="20" xfId="59" applyFont="1" applyBorder="1" applyAlignment="1">
      <alignment vertical="center"/>
      <protection/>
    </xf>
    <xf numFmtId="0" fontId="18" fillId="0" borderId="20" xfId="70" applyFont="1" applyBorder="1" applyAlignment="1">
      <alignment vertical="center"/>
      <protection/>
    </xf>
    <xf numFmtId="3" fontId="19" fillId="0" borderId="0" xfId="0" applyNumberFormat="1" applyFont="1" applyAlignment="1">
      <alignment/>
    </xf>
    <xf numFmtId="3" fontId="30" fillId="0" borderId="68" xfId="67" applyNumberFormat="1" applyFont="1" applyFill="1" applyBorder="1" applyAlignment="1">
      <alignment vertical="center"/>
      <protection/>
    </xf>
    <xf numFmtId="3" fontId="30" fillId="0" borderId="50" xfId="67" applyNumberFormat="1" applyFont="1" applyFill="1" applyBorder="1" applyAlignment="1">
      <alignment vertical="center"/>
      <protection/>
    </xf>
    <xf numFmtId="3" fontId="71" fillId="0" borderId="16" xfId="69" applyNumberFormat="1" applyFont="1" applyFill="1" applyBorder="1" applyAlignment="1">
      <alignment horizontal="center" vertical="center"/>
      <protection/>
    </xf>
    <xf numFmtId="3" fontId="70" fillId="0" borderId="16" xfId="69" applyNumberFormat="1" applyFont="1" applyFill="1" applyBorder="1" applyAlignment="1">
      <alignment horizontal="left" vertical="center" indent="1" shrinkToFit="1"/>
      <protection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vertical="center" shrinkToFit="1"/>
    </xf>
    <xf numFmtId="0" fontId="24" fillId="0" borderId="16" xfId="0" applyFont="1" applyFill="1" applyBorder="1" applyAlignment="1">
      <alignment vertical="center" shrinkToFit="1"/>
    </xf>
    <xf numFmtId="49" fontId="22" fillId="0" borderId="16" xfId="0" applyNumberFormat="1" applyFont="1" applyFill="1" applyBorder="1" applyAlignment="1">
      <alignment vertical="center" shrinkToFit="1"/>
    </xf>
    <xf numFmtId="0" fontId="20" fillId="0" borderId="16" xfId="0" applyFont="1" applyFill="1" applyBorder="1" applyAlignment="1">
      <alignment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6" xfId="0" applyFont="1" applyBorder="1" applyAlignment="1">
      <alignment horizontal="left" vertical="center" shrinkToFit="1"/>
    </xf>
    <xf numFmtId="165" fontId="20" fillId="0" borderId="16" xfId="0" applyNumberFormat="1" applyFont="1" applyFill="1" applyBorder="1" applyAlignment="1">
      <alignment horizontal="center" vertical="center" shrinkToFit="1"/>
    </xf>
    <xf numFmtId="2" fontId="20" fillId="0" borderId="16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horizontal="justify" vertical="center" shrinkToFit="1"/>
    </xf>
    <xf numFmtId="49" fontId="21" fillId="0" borderId="16" xfId="0" applyNumberFormat="1" applyFont="1" applyFill="1" applyBorder="1" applyAlignment="1">
      <alignment vertical="center" shrinkToFit="1"/>
    </xf>
    <xf numFmtId="49" fontId="20" fillId="0" borderId="16" xfId="0" applyNumberFormat="1" applyFont="1" applyFill="1" applyBorder="1" applyAlignment="1">
      <alignment horizontal="left" vertical="center" indent="1" shrinkToFit="1"/>
    </xf>
    <xf numFmtId="0" fontId="20" fillId="0" borderId="16" xfId="0" applyFont="1" applyFill="1" applyBorder="1" applyAlignment="1">
      <alignment horizontal="justify" vertical="center" shrinkToFit="1"/>
    </xf>
    <xf numFmtId="49" fontId="22" fillId="0" borderId="16" xfId="0" applyNumberFormat="1" applyFont="1" applyFill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8" fillId="0" borderId="29" xfId="0" applyNumberFormat="1" applyFont="1" applyFill="1" applyBorder="1" applyAlignment="1">
      <alignment horizontal="left" vertical="center"/>
    </xf>
    <xf numFmtId="3" fontId="18" fillId="0" borderId="32" xfId="0" applyNumberFormat="1" applyFont="1" applyFill="1" applyBorder="1" applyAlignment="1">
      <alignment horizontal="center" vertical="center"/>
    </xf>
    <xf numFmtId="3" fontId="18" fillId="0" borderId="33" xfId="0" applyNumberFormat="1" applyFont="1" applyFill="1" applyBorder="1" applyAlignment="1">
      <alignment horizontal="right" vertical="center"/>
    </xf>
    <xf numFmtId="3" fontId="18" fillId="0" borderId="8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70" fillId="0" borderId="14" xfId="69" applyNumberFormat="1" applyFont="1" applyFill="1" applyBorder="1" applyAlignment="1">
      <alignment vertical="center"/>
      <protection/>
    </xf>
    <xf numFmtId="49" fontId="70" fillId="0" borderId="16" xfId="0" applyNumberFormat="1" applyFont="1" applyFill="1" applyBorder="1" applyAlignment="1">
      <alignment horizontal="left" wrapText="1" indent="1"/>
    </xf>
    <xf numFmtId="3" fontId="70" fillId="0" borderId="14" xfId="69" applyNumberFormat="1" applyFont="1" applyFill="1" applyBorder="1" applyAlignment="1">
      <alignment horizontal="right" vertical="center"/>
      <protection/>
    </xf>
    <xf numFmtId="3" fontId="70" fillId="0" borderId="112" xfId="69" applyNumberFormat="1" applyFont="1" applyFill="1" applyBorder="1" applyAlignment="1">
      <alignment vertical="center"/>
      <protection/>
    </xf>
    <xf numFmtId="3" fontId="70" fillId="0" borderId="107" xfId="69" applyNumberFormat="1" applyFont="1" applyFill="1" applyBorder="1" applyAlignment="1">
      <alignment horizontal="left" vertical="center" wrapText="1" indent="1"/>
      <protection/>
    </xf>
    <xf numFmtId="3" fontId="20" fillId="0" borderId="97" xfId="69" applyNumberFormat="1" applyFont="1" applyFill="1" applyBorder="1" applyAlignment="1">
      <alignment vertical="center" wrapText="1"/>
      <protection/>
    </xf>
    <xf numFmtId="3" fontId="20" fillId="0" borderId="112" xfId="69" applyNumberFormat="1" applyFont="1" applyFill="1" applyBorder="1" applyAlignment="1">
      <alignment vertical="center" wrapText="1"/>
      <protection/>
    </xf>
    <xf numFmtId="3" fontId="20" fillId="0" borderId="16" xfId="69" applyNumberFormat="1" applyFont="1" applyFill="1" applyBorder="1" applyAlignment="1">
      <alignment vertical="center" wrapText="1"/>
      <protection/>
    </xf>
    <xf numFmtId="3" fontId="13" fillId="0" borderId="0" xfId="69" applyNumberFormat="1" applyFont="1" applyFill="1" applyAlignment="1">
      <alignment horizontal="center" vertical="center"/>
      <protection/>
    </xf>
    <xf numFmtId="3" fontId="71" fillId="0" borderId="86" xfId="69" applyNumberFormat="1" applyFont="1" applyFill="1" applyBorder="1" applyAlignment="1">
      <alignment horizontal="center" vertical="center"/>
      <protection/>
    </xf>
    <xf numFmtId="3" fontId="71" fillId="0" borderId="16" xfId="0" applyNumberFormat="1" applyFont="1" applyFill="1" applyBorder="1" applyAlignment="1">
      <alignment horizontal="center" vertical="center"/>
    </xf>
    <xf numFmtId="3" fontId="69" fillId="0" borderId="13" xfId="69" applyNumberFormat="1" applyFont="1" applyFill="1" applyBorder="1" applyAlignment="1">
      <alignment horizontal="center" vertical="center"/>
      <protection/>
    </xf>
    <xf numFmtId="0" fontId="65" fillId="0" borderId="86" xfId="0" applyFont="1" applyBorder="1" applyAlignment="1">
      <alignment horizontal="center" vertical="center" wrapText="1"/>
    </xf>
    <xf numFmtId="0" fontId="23" fillId="0" borderId="107" xfId="56" applyFont="1" applyBorder="1" applyAlignment="1">
      <alignment horizontal="left"/>
      <protection/>
    </xf>
    <xf numFmtId="0" fontId="18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3" fontId="7" fillId="0" borderId="22" xfId="62" applyNumberFormat="1" applyFont="1" applyBorder="1" applyAlignment="1">
      <alignment horizontal="right"/>
      <protection/>
    </xf>
    <xf numFmtId="3" fontId="7" fillId="0" borderId="111" xfId="62" applyNumberFormat="1" applyFont="1" applyBorder="1">
      <alignment/>
      <protection/>
    </xf>
    <xf numFmtId="3" fontId="7" fillId="0" borderId="111" xfId="62" applyNumberFormat="1" applyFont="1" applyBorder="1" applyAlignment="1">
      <alignment horizontal="right"/>
      <protection/>
    </xf>
    <xf numFmtId="3" fontId="6" fillId="0" borderId="15" xfId="62" applyNumberFormat="1" applyFont="1" applyBorder="1" applyAlignment="1">
      <alignment horizontal="right"/>
      <protection/>
    </xf>
    <xf numFmtId="3" fontId="6" fillId="0" borderId="50" xfId="62" applyNumberFormat="1" applyFont="1" applyBorder="1">
      <alignment/>
      <protection/>
    </xf>
    <xf numFmtId="3" fontId="6" fillId="0" borderId="16" xfId="62" applyNumberFormat="1" applyFont="1" applyBorder="1" applyAlignment="1">
      <alignment horizontal="right"/>
      <protection/>
    </xf>
    <xf numFmtId="3" fontId="6" fillId="0" borderId="94" xfId="62" applyNumberFormat="1" applyFont="1" applyBorder="1">
      <alignment/>
      <protection/>
    </xf>
    <xf numFmtId="3" fontId="6" fillId="0" borderId="100" xfId="62" applyNumberFormat="1" applyFont="1" applyBorder="1" applyAlignment="1">
      <alignment horizontal="right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7" fillId="0" borderId="110" xfId="62" applyNumberFormat="1" applyFont="1" applyBorder="1" applyAlignment="1">
      <alignment horizontal="right" vertical="center"/>
      <protection/>
    </xf>
    <xf numFmtId="3" fontId="7" fillId="0" borderId="103" xfId="62" applyNumberFormat="1" applyFont="1" applyBorder="1" applyAlignment="1">
      <alignment horizontal="right" vertical="center"/>
      <protection/>
    </xf>
    <xf numFmtId="0" fontId="58" fillId="0" borderId="0" xfId="0" applyFont="1" applyAlignment="1">
      <alignment horizontal="center"/>
    </xf>
    <xf numFmtId="0" fontId="93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20" fillId="0" borderId="16" xfId="66" applyFont="1" applyBorder="1" applyAlignment="1">
      <alignment horizontal="center" vertical="center"/>
      <protection/>
    </xf>
    <xf numFmtId="0" fontId="20" fillId="0" borderId="16" xfId="66" applyFont="1" applyBorder="1" applyAlignment="1">
      <alignment horizontal="center" vertical="center" wrapText="1"/>
      <protection/>
    </xf>
    <xf numFmtId="0" fontId="58" fillId="0" borderId="89" xfId="0" applyFont="1" applyBorder="1" applyAlignment="1">
      <alignment horizontal="center"/>
    </xf>
    <xf numFmtId="0" fontId="65" fillId="0" borderId="112" xfId="0" applyFont="1" applyBorder="1" applyAlignment="1">
      <alignment/>
    </xf>
    <xf numFmtId="3" fontId="65" fillId="0" borderId="7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58" fillId="0" borderId="179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  <xf numFmtId="3" fontId="59" fillId="0" borderId="156" xfId="0" applyNumberFormat="1" applyFont="1" applyBorder="1" applyAlignment="1">
      <alignment/>
    </xf>
    <xf numFmtId="0" fontId="65" fillId="0" borderId="112" xfId="0" applyFont="1" applyBorder="1" applyAlignment="1">
      <alignment wrapText="1"/>
    </xf>
    <xf numFmtId="3" fontId="65" fillId="0" borderId="16" xfId="0" applyNumberFormat="1" applyFont="1" applyBorder="1" applyAlignment="1">
      <alignment/>
    </xf>
    <xf numFmtId="3" fontId="23" fillId="0" borderId="34" xfId="0" applyNumberFormat="1" applyFont="1" applyBorder="1" applyAlignment="1">
      <alignment vertical="center"/>
    </xf>
    <xf numFmtId="3" fontId="59" fillId="0" borderId="17" xfId="0" applyNumberFormat="1" applyFont="1" applyBorder="1" applyAlignment="1">
      <alignment vertical="center"/>
    </xf>
    <xf numFmtId="3" fontId="59" fillId="0" borderId="182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61" fillId="0" borderId="0" xfId="0" applyFont="1" applyAlignment="1">
      <alignment horizontal="left"/>
    </xf>
    <xf numFmtId="16" fontId="95" fillId="0" borderId="0" xfId="0" applyNumberFormat="1" applyFont="1" applyAlignment="1" quotePrefix="1">
      <alignment horizontal="center" vertical="top"/>
    </xf>
    <xf numFmtId="0" fontId="58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96" fillId="0" borderId="0" xfId="0" applyNumberFormat="1" applyFont="1" applyBorder="1" applyAlignment="1">
      <alignment vertical="center"/>
    </xf>
    <xf numFmtId="3" fontId="59" fillId="0" borderId="0" xfId="0" applyNumberFormat="1" applyFont="1" applyBorder="1" applyAlignment="1">
      <alignment vertical="center"/>
    </xf>
    <xf numFmtId="0" fontId="65" fillId="0" borderId="74" xfId="0" applyFont="1" applyBorder="1" applyAlignment="1">
      <alignment horizontal="left" wrapText="1"/>
    </xf>
    <xf numFmtId="3" fontId="58" fillId="0" borderId="107" xfId="0" applyNumberFormat="1" applyFont="1" applyBorder="1" applyAlignment="1">
      <alignment/>
    </xf>
    <xf numFmtId="0" fontId="58" fillId="0" borderId="104" xfId="0" applyFont="1" applyBorder="1" applyAlignment="1">
      <alignment horizontal="center"/>
    </xf>
    <xf numFmtId="0" fontId="65" fillId="0" borderId="74" xfId="0" applyFont="1" applyBorder="1" applyAlignment="1">
      <alignment wrapText="1"/>
    </xf>
    <xf numFmtId="3" fontId="65" fillId="0" borderId="74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vertical="center"/>
    </xf>
    <xf numFmtId="3" fontId="59" fillId="0" borderId="100" xfId="0" applyNumberFormat="1" applyFont="1" applyBorder="1" applyAlignment="1">
      <alignment vertical="center"/>
    </xf>
    <xf numFmtId="3" fontId="59" fillId="0" borderId="0" xfId="0" applyNumberFormat="1" applyFont="1" applyAlignment="1">
      <alignment/>
    </xf>
    <xf numFmtId="3" fontId="58" fillId="0" borderId="74" xfId="0" applyNumberFormat="1" applyFont="1" applyBorder="1" applyAlignment="1">
      <alignment/>
    </xf>
    <xf numFmtId="0" fontId="18" fillId="0" borderId="16" xfId="61" applyFont="1" applyBorder="1" applyAlignment="1">
      <alignment wrapText="1"/>
      <protection/>
    </xf>
    <xf numFmtId="0" fontId="18" fillId="0" borderId="15" xfId="0" applyFont="1" applyBorder="1" applyAlignment="1">
      <alignment horizontal="left" vertical="center" wrapText="1"/>
    </xf>
    <xf numFmtId="0" fontId="23" fillId="0" borderId="16" xfId="56" applyFont="1" applyBorder="1" applyAlignment="1">
      <alignment horizontal="left"/>
      <protection/>
    </xf>
    <xf numFmtId="3" fontId="23" fillId="0" borderId="16" xfId="56" applyNumberFormat="1" applyFont="1" applyBorder="1" applyAlignment="1">
      <alignment horizontal="right"/>
      <protection/>
    </xf>
    <xf numFmtId="0" fontId="58" fillId="0" borderId="183" xfId="67" applyFont="1" applyBorder="1" applyAlignment="1">
      <alignment horizontal="right"/>
      <protection/>
    </xf>
    <xf numFmtId="0" fontId="58" fillId="0" borderId="114" xfId="67" applyFont="1" applyBorder="1">
      <alignment/>
      <protection/>
    </xf>
    <xf numFmtId="0" fontId="58" fillId="0" borderId="98" xfId="67" applyFont="1" applyBorder="1" applyAlignment="1">
      <alignment wrapText="1"/>
      <protection/>
    </xf>
    <xf numFmtId="0" fontId="58" fillId="0" borderId="98" xfId="67" applyFont="1" applyBorder="1">
      <alignment/>
      <protection/>
    </xf>
    <xf numFmtId="0" fontId="65" fillId="0" borderId="121" xfId="0" applyFont="1" applyBorder="1" applyAlignment="1">
      <alignment horizontal="right" vertical="center"/>
    </xf>
    <xf numFmtId="0" fontId="26" fillId="0" borderId="92" xfId="58" applyFont="1" applyFill="1" applyBorder="1" applyAlignment="1">
      <alignment horizontal="center" vertical="center"/>
      <protection/>
    </xf>
    <xf numFmtId="0" fontId="26" fillId="0" borderId="16" xfId="58" applyFont="1" applyFill="1" applyBorder="1" applyAlignment="1">
      <alignment horizontal="left" vertical="center" wrapText="1" indent="1"/>
      <protection/>
    </xf>
    <xf numFmtId="3" fontId="26" fillId="0" borderId="16" xfId="58" applyNumberFormat="1" applyFont="1" applyFill="1" applyBorder="1" applyAlignment="1">
      <alignment horizontal="right" vertical="center"/>
      <protection/>
    </xf>
    <xf numFmtId="3" fontId="26" fillId="0" borderId="94" xfId="58" applyNumberFormat="1" applyFont="1" applyFill="1" applyBorder="1" applyAlignment="1">
      <alignment horizontal="right" vertical="center"/>
      <protection/>
    </xf>
    <xf numFmtId="3" fontId="30" fillId="0" borderId="0" xfId="58" applyNumberFormat="1" applyFont="1" applyFill="1" applyBorder="1" applyAlignment="1">
      <alignment vertical="center"/>
      <protection/>
    </xf>
    <xf numFmtId="0" fontId="30" fillId="0" borderId="0" xfId="58" applyFont="1" applyFill="1" applyAlignment="1">
      <alignment vertical="center"/>
      <protection/>
    </xf>
    <xf numFmtId="0" fontId="18" fillId="0" borderId="98" xfId="58" applyFont="1" applyFill="1" applyBorder="1" applyAlignment="1">
      <alignment horizontal="center" vertical="center"/>
      <protection/>
    </xf>
    <xf numFmtId="0" fontId="18" fillId="0" borderId="17" xfId="58" applyFont="1" applyFill="1" applyBorder="1" applyAlignment="1">
      <alignment horizontal="left" vertical="center"/>
      <protection/>
    </xf>
    <xf numFmtId="3" fontId="18" fillId="0" borderId="17" xfId="58" applyNumberFormat="1" applyFont="1" applyFill="1" applyBorder="1" applyAlignment="1">
      <alignment horizontal="right" vertical="center"/>
      <protection/>
    </xf>
    <xf numFmtId="0" fontId="26" fillId="0" borderId="16" xfId="58" applyFont="1" applyFill="1" applyBorder="1" applyAlignment="1">
      <alignment horizontal="left" vertical="center"/>
      <protection/>
    </xf>
    <xf numFmtId="0" fontId="26" fillId="0" borderId="16" xfId="58" applyFont="1" applyFill="1" applyBorder="1" applyAlignment="1">
      <alignment horizontal="left" vertical="center" indent="1"/>
      <protection/>
    </xf>
    <xf numFmtId="0" fontId="30" fillId="0" borderId="0" xfId="58" applyFont="1" applyFill="1" applyAlignment="1">
      <alignment/>
      <protection/>
    </xf>
    <xf numFmtId="49" fontId="15" fillId="0" borderId="16" xfId="0" applyNumberFormat="1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vertical="center" shrinkToFit="1"/>
    </xf>
    <xf numFmtId="0" fontId="94" fillId="0" borderId="0" xfId="0" applyFont="1" applyAlignment="1">
      <alignment/>
    </xf>
    <xf numFmtId="3" fontId="40" fillId="0" borderId="0" xfId="0" applyNumberFormat="1" applyFont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/>
    </xf>
    <xf numFmtId="0" fontId="83" fillId="0" borderId="12" xfId="65" applyFont="1" applyBorder="1" applyAlignment="1">
      <alignment horizontal="right"/>
      <protection/>
    </xf>
    <xf numFmtId="3" fontId="83" fillId="0" borderId="46" xfId="65" applyNumberFormat="1" applyFont="1" applyBorder="1" applyAlignment="1">
      <alignment horizontal="right" vertical="center"/>
      <protection/>
    </xf>
    <xf numFmtId="0" fontId="65" fillId="0" borderId="12" xfId="65" applyFont="1" applyBorder="1" applyAlignment="1">
      <alignment horizontal="right"/>
      <protection/>
    </xf>
    <xf numFmtId="3" fontId="65" fillId="0" borderId="46" xfId="65" applyNumberFormat="1" applyFont="1" applyBorder="1" applyAlignment="1">
      <alignment horizontal="right" vertical="center"/>
      <protection/>
    </xf>
    <xf numFmtId="3" fontId="65" fillId="0" borderId="12" xfId="65" applyNumberFormat="1" applyFont="1" applyBorder="1" applyAlignment="1">
      <alignment horizontal="right"/>
      <protection/>
    </xf>
    <xf numFmtId="3" fontId="65" fillId="0" borderId="46" xfId="65" applyNumberFormat="1" applyFont="1" applyBorder="1" applyAlignment="1">
      <alignment horizontal="right"/>
      <protection/>
    </xf>
    <xf numFmtId="3" fontId="64" fillId="0" borderId="177" xfId="65" applyNumberFormat="1" applyFont="1" applyBorder="1" applyAlignment="1">
      <alignment horizontal="right"/>
      <protection/>
    </xf>
    <xf numFmtId="3" fontId="64" fillId="0" borderId="10" xfId="65" applyNumberFormat="1" applyFont="1" applyBorder="1" applyAlignment="1">
      <alignment horizontal="right"/>
      <protection/>
    </xf>
    <xf numFmtId="3" fontId="64" fillId="0" borderId="153" xfId="65" applyNumberFormat="1" applyFont="1" applyBorder="1" applyAlignment="1">
      <alignment horizontal="right"/>
      <protection/>
    </xf>
    <xf numFmtId="3" fontId="79" fillId="0" borderId="147" xfId="65" applyNumberFormat="1" applyFont="1" applyBorder="1" applyAlignment="1" quotePrefix="1">
      <alignment horizontal="right"/>
      <protection/>
    </xf>
    <xf numFmtId="3" fontId="79" fillId="0" borderId="17" xfId="65" applyNumberFormat="1" applyFont="1" applyBorder="1" applyAlignment="1">
      <alignment horizontal="right"/>
      <protection/>
    </xf>
    <xf numFmtId="3" fontId="79" fillId="0" borderId="100" xfId="65" applyNumberFormat="1" applyFont="1" applyBorder="1" applyAlignment="1">
      <alignment horizontal="right"/>
      <protection/>
    </xf>
    <xf numFmtId="3" fontId="41" fillId="0" borderId="56" xfId="0" applyNumberFormat="1" applyFont="1" applyFill="1" applyBorder="1" applyAlignment="1">
      <alignment horizontal="right" shrinkToFit="1"/>
    </xf>
    <xf numFmtId="3" fontId="34" fillId="0" borderId="10" xfId="69" applyNumberFormat="1" applyFont="1" applyFill="1" applyBorder="1" applyAlignment="1" quotePrefix="1">
      <alignment horizontal="center" vertical="center"/>
      <protection/>
    </xf>
    <xf numFmtId="3" fontId="34" fillId="0" borderId="18" xfId="0" applyNumberFormat="1" applyFont="1" applyFill="1" applyBorder="1" applyAlignment="1">
      <alignment horizontal="right" shrinkToFit="1"/>
    </xf>
    <xf numFmtId="3" fontId="34" fillId="34" borderId="18" xfId="0" applyNumberFormat="1" applyFont="1" applyFill="1" applyBorder="1" applyAlignment="1">
      <alignment horizontal="right" shrinkToFit="1"/>
    </xf>
    <xf numFmtId="3" fontId="21" fillId="0" borderId="18" xfId="0" applyNumberFormat="1" applyFont="1" applyFill="1" applyBorder="1" applyAlignment="1">
      <alignment horizontal="right" shrinkToFit="1"/>
    </xf>
    <xf numFmtId="3" fontId="21" fillId="34" borderId="18" xfId="0" applyNumberFormat="1" applyFont="1" applyFill="1" applyBorder="1" applyAlignment="1">
      <alignment horizontal="right" shrinkToFit="1"/>
    </xf>
    <xf numFmtId="3" fontId="21" fillId="0" borderId="77" xfId="0" applyNumberFormat="1" applyFont="1" applyFill="1" applyBorder="1" applyAlignment="1">
      <alignment horizontal="right" shrinkToFit="1"/>
    </xf>
    <xf numFmtId="3" fontId="21" fillId="0" borderId="153" xfId="0" applyNumberFormat="1" applyFont="1" applyFill="1" applyBorder="1" applyAlignment="1">
      <alignment horizontal="right" shrinkToFit="1"/>
    </xf>
    <xf numFmtId="2" fontId="21" fillId="0" borderId="184" xfId="0" applyNumberFormat="1" applyFont="1" applyFill="1" applyBorder="1" applyAlignment="1">
      <alignment horizontal="center" shrinkToFit="1"/>
    </xf>
    <xf numFmtId="3" fontId="20" fillId="0" borderId="18" xfId="0" applyNumberFormat="1" applyFont="1" applyFill="1" applyBorder="1" applyAlignment="1">
      <alignment horizontal="right" shrinkToFit="1"/>
    </xf>
    <xf numFmtId="0" fontId="21" fillId="0" borderId="184" xfId="0" applyFont="1" applyFill="1" applyBorder="1" applyAlignment="1">
      <alignment horizontal="center" shrinkToFit="1"/>
    </xf>
    <xf numFmtId="3" fontId="21" fillId="0" borderId="0" xfId="0" applyNumberFormat="1" applyFont="1" applyFill="1" applyBorder="1" applyAlignment="1">
      <alignment horizontal="right" shrinkToFit="1"/>
    </xf>
    <xf numFmtId="0" fontId="20" fillId="0" borderId="84" xfId="0" applyFont="1" applyFill="1" applyBorder="1" applyAlignment="1">
      <alignment horizontal="center" shrinkToFit="1"/>
    </xf>
    <xf numFmtId="3" fontId="20" fillId="34" borderId="18" xfId="0" applyNumberFormat="1" applyFont="1" applyFill="1" applyBorder="1" applyAlignment="1">
      <alignment horizontal="right" shrinkToFit="1"/>
    </xf>
    <xf numFmtId="3" fontId="21" fillId="0" borderId="67" xfId="0" applyNumberFormat="1" applyFont="1" applyFill="1" applyBorder="1" applyAlignment="1">
      <alignment horizontal="right" shrinkToFit="1"/>
    </xf>
    <xf numFmtId="3" fontId="21" fillId="0" borderId="173" xfId="0" applyNumberFormat="1" applyFont="1" applyFill="1" applyBorder="1" applyAlignment="1">
      <alignment horizontal="right" shrinkToFit="1"/>
    </xf>
    <xf numFmtId="0" fontId="20" fillId="0" borderId="62" xfId="0" applyFont="1" applyFill="1" applyBorder="1" applyAlignment="1">
      <alignment horizontal="center" shrinkToFit="1"/>
    </xf>
    <xf numFmtId="2" fontId="21" fillId="0" borderId="184" xfId="0" applyNumberFormat="1" applyFont="1" applyFill="1" applyBorder="1" applyAlignment="1">
      <alignment horizontal="center" vertical="center" shrinkToFit="1"/>
    </xf>
    <xf numFmtId="3" fontId="21" fillId="0" borderId="58" xfId="0" applyNumberFormat="1" applyFont="1" applyFill="1" applyBorder="1" applyAlignment="1">
      <alignment horizontal="right" vertical="center" shrinkToFit="1"/>
    </xf>
    <xf numFmtId="0" fontId="21" fillId="0" borderId="184" xfId="0" applyFont="1" applyFill="1" applyBorder="1" applyAlignment="1">
      <alignment horizontal="center" vertical="center" shrinkToFit="1"/>
    </xf>
    <xf numFmtId="3" fontId="21" fillId="0" borderId="77" xfId="0" applyNumberFormat="1" applyFont="1" applyFill="1" applyBorder="1" applyAlignment="1">
      <alignment horizontal="right" vertical="center" shrinkToFit="1"/>
    </xf>
    <xf numFmtId="3" fontId="21" fillId="0" borderId="67" xfId="0" applyNumberFormat="1" applyFont="1" applyFill="1" applyBorder="1" applyAlignment="1">
      <alignment horizontal="right" vertical="center" shrinkToFit="1"/>
    </xf>
    <xf numFmtId="3" fontId="21" fillId="0" borderId="173" xfId="0" applyNumberFormat="1" applyFont="1" applyFill="1" applyBorder="1" applyAlignment="1">
      <alignment horizontal="right" vertical="center" shrinkToFit="1"/>
    </xf>
    <xf numFmtId="0" fontId="21" fillId="0" borderId="84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/>
    </xf>
    <xf numFmtId="0" fontId="26" fillId="0" borderId="0" xfId="0" applyFont="1" applyAlignment="1" quotePrefix="1">
      <alignment/>
    </xf>
    <xf numFmtId="3" fontId="26" fillId="0" borderId="0" xfId="0" applyNumberFormat="1" applyFont="1" applyAlignment="1">
      <alignment/>
    </xf>
    <xf numFmtId="0" fontId="92" fillId="0" borderId="0" xfId="0" applyFont="1" applyAlignment="1">
      <alignment wrapText="1"/>
    </xf>
    <xf numFmtId="3" fontId="92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22" xfId="62" applyFont="1" applyBorder="1" applyAlignment="1">
      <alignment horizontal="center" wrapText="1"/>
      <protection/>
    </xf>
    <xf numFmtId="3" fontId="20" fillId="0" borderId="21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0" fontId="20" fillId="0" borderId="185" xfId="0" applyFont="1" applyFill="1" applyBorder="1" applyAlignment="1">
      <alignment vertical="center" wrapText="1"/>
    </xf>
    <xf numFmtId="3" fontId="20" fillId="0" borderId="185" xfId="0" applyNumberFormat="1" applyFont="1" applyBorder="1" applyAlignment="1">
      <alignment/>
    </xf>
    <xf numFmtId="3" fontId="20" fillId="0" borderId="185" xfId="0" applyNumberFormat="1" applyFont="1" applyBorder="1" applyAlignment="1">
      <alignment/>
    </xf>
    <xf numFmtId="3" fontId="21" fillId="0" borderId="185" xfId="0" applyNumberFormat="1" applyFont="1" applyBorder="1" applyAlignment="1">
      <alignment/>
    </xf>
    <xf numFmtId="3" fontId="21" fillId="0" borderId="186" xfId="0" applyNumberFormat="1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45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/>
    </xf>
    <xf numFmtId="3" fontId="21" fillId="0" borderId="115" xfId="69" applyNumberFormat="1" applyFont="1" applyFill="1" applyBorder="1" applyAlignment="1">
      <alignment horizontal="right" vertical="center"/>
      <protection/>
    </xf>
    <xf numFmtId="165" fontId="41" fillId="0" borderId="182" xfId="69" applyNumberFormat="1" applyFont="1" applyFill="1" applyBorder="1" applyAlignment="1">
      <alignment horizontal="right" vertical="center"/>
      <protection/>
    </xf>
    <xf numFmtId="0" fontId="71" fillId="0" borderId="92" xfId="67" applyFont="1" applyFill="1" applyBorder="1" applyAlignment="1">
      <alignment horizontal="left" vertical="center" wrapText="1"/>
      <protection/>
    </xf>
    <xf numFmtId="3" fontId="10" fillId="0" borderId="162" xfId="67" applyNumberFormat="1" applyFont="1" applyFill="1" applyBorder="1" applyAlignment="1">
      <alignment vertical="center"/>
      <protection/>
    </xf>
    <xf numFmtId="3" fontId="10" fillId="0" borderId="93" xfId="67" applyNumberFormat="1" applyFont="1" applyFill="1" applyBorder="1" applyAlignment="1">
      <alignment vertical="center"/>
      <protection/>
    </xf>
    <xf numFmtId="0" fontId="10" fillId="0" borderId="104" xfId="67" applyFont="1" applyFill="1" applyBorder="1" applyAlignment="1">
      <alignment horizontal="justify" vertical="center"/>
      <protection/>
    </xf>
    <xf numFmtId="3" fontId="11" fillId="0" borderId="74" xfId="67" applyNumberFormat="1" applyFont="1" applyFill="1" applyBorder="1" applyAlignment="1">
      <alignment vertical="center"/>
      <protection/>
    </xf>
    <xf numFmtId="3" fontId="11" fillId="0" borderId="44" xfId="67" applyNumberFormat="1" applyFont="1" applyFill="1" applyBorder="1" applyAlignment="1">
      <alignment vertical="center"/>
      <protection/>
    </xf>
    <xf numFmtId="49" fontId="20" fillId="0" borderId="86" xfId="0" applyNumberFormat="1" applyFont="1" applyFill="1" applyBorder="1" applyAlignment="1">
      <alignment horizontal="justify" vertical="center" shrinkToFit="1"/>
    </xf>
    <xf numFmtId="2" fontId="88" fillId="0" borderId="0" xfId="65" applyNumberFormat="1" applyFont="1" applyAlignment="1">
      <alignment horizontal="justify" vertical="top" wrapText="1"/>
      <protection/>
    </xf>
    <xf numFmtId="2" fontId="18" fillId="0" borderId="0" xfId="65" applyNumberFormat="1" applyFont="1" applyAlignment="1">
      <alignment horizontal="justify" vertical="top" wrapText="1"/>
      <protection/>
    </xf>
    <xf numFmtId="0" fontId="79" fillId="0" borderId="107" xfId="65" applyFont="1" applyBorder="1" applyAlignment="1">
      <alignment horizontal="center" vertical="center" wrapText="1"/>
      <protection/>
    </xf>
    <xf numFmtId="0" fontId="64" fillId="0" borderId="156" xfId="64" applyFont="1" applyBorder="1" applyAlignment="1">
      <alignment horizontal="center" vertical="center" wrapText="1"/>
      <protection/>
    </xf>
    <xf numFmtId="0" fontId="56" fillId="0" borderId="0" xfId="64" applyAlignment="1">
      <alignment horizontal="justify" vertical="top" wrapText="1"/>
      <protection/>
    </xf>
    <xf numFmtId="2" fontId="18" fillId="0" borderId="0" xfId="64" applyNumberFormat="1" applyFont="1" applyAlignment="1">
      <alignment horizontal="justify" vertical="top" wrapText="1"/>
      <protection/>
    </xf>
    <xf numFmtId="2" fontId="88" fillId="0" borderId="0" xfId="65" applyNumberFormat="1" applyFont="1" applyAlignment="1">
      <alignment horizontal="justify" wrapText="1"/>
      <protection/>
    </xf>
    <xf numFmtId="2" fontId="18" fillId="0" borderId="0" xfId="64" applyNumberFormat="1" applyFont="1" applyAlignment="1">
      <alignment horizontal="justify" wrapText="1"/>
      <protection/>
    </xf>
    <xf numFmtId="0" fontId="79" fillId="0" borderId="42" xfId="65" applyFont="1" applyBorder="1" applyAlignment="1">
      <alignment horizontal="center" vertical="center"/>
      <protection/>
    </xf>
    <xf numFmtId="0" fontId="79" fillId="0" borderId="74" xfId="65" applyFont="1" applyBorder="1" applyAlignment="1">
      <alignment horizontal="center" vertical="center"/>
      <protection/>
    </xf>
    <xf numFmtId="0" fontId="64" fillId="0" borderId="101" xfId="65" applyFont="1" applyBorder="1" applyAlignment="1">
      <alignment vertical="center"/>
      <protection/>
    </xf>
    <xf numFmtId="0" fontId="64" fillId="0" borderId="162" xfId="65" applyFont="1" applyBorder="1" applyAlignment="1">
      <alignment vertical="center"/>
      <protection/>
    </xf>
    <xf numFmtId="0" fontId="85" fillId="0" borderId="98" xfId="65" applyFont="1" applyBorder="1" applyAlignment="1">
      <alignment horizontal="center"/>
      <protection/>
    </xf>
    <xf numFmtId="0" fontId="85" fillId="0" borderId="17" xfId="65" applyFont="1" applyBorder="1" applyAlignment="1">
      <alignment/>
      <protection/>
    </xf>
    <xf numFmtId="0" fontId="65" fillId="0" borderId="16" xfId="68" applyFont="1" applyBorder="1">
      <alignment/>
      <protection/>
    </xf>
    <xf numFmtId="3" fontId="65" fillId="0" borderId="107" xfId="68" applyNumberFormat="1" applyFont="1" applyBorder="1" applyAlignment="1">
      <alignment horizontal="center" vertical="center" wrapText="1"/>
      <protection/>
    </xf>
    <xf numFmtId="3" fontId="65" fillId="0" borderId="112" xfId="68" applyNumberFormat="1" applyFont="1" applyBorder="1" applyAlignment="1">
      <alignment horizontal="center" vertical="center" wrapText="1"/>
      <protection/>
    </xf>
    <xf numFmtId="0" fontId="65" fillId="0" borderId="16" xfId="56" applyFont="1" applyBorder="1" applyAlignment="1">
      <alignment horizontal="center" vertical="center" wrapText="1"/>
      <protection/>
    </xf>
    <xf numFmtId="0" fontId="65" fillId="0" borderId="16" xfId="68" applyFont="1" applyBorder="1" applyAlignment="1">
      <alignment/>
      <protection/>
    </xf>
    <xf numFmtId="0" fontId="65" fillId="0" borderId="16" xfId="56" applyFont="1" applyBorder="1" applyAlignment="1">
      <alignment/>
      <protection/>
    </xf>
    <xf numFmtId="0" fontId="65" fillId="0" borderId="179" xfId="56" applyFont="1" applyBorder="1" applyAlignment="1">
      <alignment horizontal="center" vertical="center" wrapText="1"/>
      <protection/>
    </xf>
    <xf numFmtId="0" fontId="65" fillId="0" borderId="79" xfId="56" applyFont="1" applyBorder="1" applyAlignment="1">
      <alignment horizontal="center" vertical="center" wrapText="1"/>
      <protection/>
    </xf>
    <xf numFmtId="0" fontId="65" fillId="0" borderId="119" xfId="56" applyFont="1" applyBorder="1" applyAlignment="1">
      <alignment horizontal="center" vertical="center" wrapText="1"/>
      <protection/>
    </xf>
    <xf numFmtId="0" fontId="65" fillId="0" borderId="102" xfId="56" applyFont="1" applyBorder="1" applyAlignment="1">
      <alignment horizontal="center" vertical="center" wrapText="1"/>
      <protection/>
    </xf>
    <xf numFmtId="0" fontId="65" fillId="0" borderId="107" xfId="56" applyFont="1" applyBorder="1" applyAlignment="1">
      <alignment horizontal="left" vertical="center" wrapText="1"/>
      <protection/>
    </xf>
    <xf numFmtId="0" fontId="0" fillId="0" borderId="97" xfId="0" applyBorder="1" applyAlignment="1">
      <alignment horizontal="left"/>
    </xf>
    <xf numFmtId="0" fontId="0" fillId="0" borderId="112" xfId="0" applyBorder="1" applyAlignment="1">
      <alignment horizontal="left"/>
    </xf>
    <xf numFmtId="0" fontId="65" fillId="0" borderId="14" xfId="56" applyFont="1" applyBorder="1" applyAlignment="1">
      <alignment horizontal="center" vertical="center" wrapText="1"/>
      <protection/>
    </xf>
    <xf numFmtId="0" fontId="65" fillId="0" borderId="11" xfId="56" applyFont="1" applyBorder="1" applyAlignment="1">
      <alignment horizontal="center" vertical="center" wrapText="1"/>
      <protection/>
    </xf>
    <xf numFmtId="0" fontId="65" fillId="0" borderId="86" xfId="0" applyFont="1" applyBorder="1" applyAlignment="1">
      <alignment horizontal="center" vertical="center" wrapText="1"/>
    </xf>
    <xf numFmtId="0" fontId="65" fillId="0" borderId="107" xfId="68" applyFont="1" applyBorder="1" applyAlignment="1">
      <alignment/>
      <protection/>
    </xf>
    <xf numFmtId="0" fontId="65" fillId="0" borderId="97" xfId="0" applyFont="1" applyBorder="1" applyAlignment="1">
      <alignment/>
    </xf>
    <xf numFmtId="0" fontId="65" fillId="0" borderId="112" xfId="0" applyFont="1" applyBorder="1" applyAlignment="1">
      <alignment/>
    </xf>
    <xf numFmtId="0" fontId="23" fillId="0" borderId="107" xfId="56" applyFont="1" applyBorder="1" applyAlignment="1">
      <alignment horizontal="left" vertical="center" wrapText="1"/>
      <protection/>
    </xf>
    <xf numFmtId="0" fontId="23" fillId="0" borderId="97" xfId="56" applyFont="1" applyBorder="1" applyAlignment="1">
      <alignment horizontal="left" vertical="center" wrapText="1"/>
      <protection/>
    </xf>
    <xf numFmtId="0" fontId="23" fillId="0" borderId="112" xfId="56" applyFont="1" applyBorder="1" applyAlignment="1">
      <alignment horizontal="left" vertical="center" wrapText="1"/>
      <protection/>
    </xf>
    <xf numFmtId="0" fontId="23" fillId="0" borderId="107" xfId="56" applyFont="1" applyBorder="1" applyAlignment="1">
      <alignment horizontal="center"/>
      <protection/>
    </xf>
    <xf numFmtId="0" fontId="23" fillId="0" borderId="97" xfId="56" applyFont="1" applyBorder="1" applyAlignment="1">
      <alignment horizontal="center"/>
      <protection/>
    </xf>
    <xf numFmtId="0" fontId="23" fillId="0" borderId="97" xfId="0" applyFont="1" applyBorder="1" applyAlignment="1">
      <alignment horizontal="left"/>
    </xf>
    <xf numFmtId="0" fontId="23" fillId="0" borderId="112" xfId="0" applyFont="1" applyBorder="1" applyAlignment="1">
      <alignment horizontal="left"/>
    </xf>
    <xf numFmtId="0" fontId="23" fillId="0" borderId="107" xfId="56" applyFont="1" applyBorder="1" applyAlignment="1">
      <alignment horizontal="left"/>
      <protection/>
    </xf>
    <xf numFmtId="0" fontId="23" fillId="0" borderId="97" xfId="56" applyFont="1" applyBorder="1" applyAlignment="1">
      <alignment horizontal="left"/>
      <protection/>
    </xf>
    <xf numFmtId="0" fontId="23" fillId="0" borderId="112" xfId="56" applyFont="1" applyBorder="1" applyAlignment="1">
      <alignment horizontal="left"/>
      <protection/>
    </xf>
    <xf numFmtId="0" fontId="65" fillId="0" borderId="119" xfId="56" applyFont="1" applyBorder="1" applyAlignment="1">
      <alignment horizontal="left" vertical="center" wrapText="1"/>
      <protection/>
    </xf>
    <xf numFmtId="0" fontId="65" fillId="0" borderId="102" xfId="56" applyFont="1" applyBorder="1" applyAlignment="1">
      <alignment horizontal="left" vertical="center" wrapText="1"/>
      <protection/>
    </xf>
    <xf numFmtId="0" fontId="65" fillId="0" borderId="162" xfId="56" applyFont="1" applyBorder="1" applyAlignment="1">
      <alignment horizontal="left" vertical="center" wrapText="1"/>
      <protection/>
    </xf>
    <xf numFmtId="0" fontId="65" fillId="0" borderId="107" xfId="56" applyFont="1" applyBorder="1" applyAlignment="1">
      <alignment horizontal="left"/>
      <protection/>
    </xf>
    <xf numFmtId="0" fontId="65" fillId="0" borderId="97" xfId="56" applyFont="1" applyBorder="1" applyAlignment="1">
      <alignment horizontal="left"/>
      <protection/>
    </xf>
    <xf numFmtId="0" fontId="65" fillId="0" borderId="112" xfId="56" applyFont="1" applyBorder="1" applyAlignment="1">
      <alignment horizontal="left"/>
      <protection/>
    </xf>
    <xf numFmtId="0" fontId="65" fillId="0" borderId="97" xfId="68" applyFont="1" applyBorder="1" applyAlignment="1">
      <alignment/>
      <protection/>
    </xf>
    <xf numFmtId="0" fontId="65" fillId="0" borderId="112" xfId="68" applyFont="1" applyBorder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3" fillId="0" borderId="16" xfId="56" applyFont="1" applyBorder="1" applyAlignment="1">
      <alignment horizontal="center"/>
      <protection/>
    </xf>
    <xf numFmtId="0" fontId="65" fillId="0" borderId="179" xfId="56" applyFont="1" applyBorder="1" applyAlignment="1">
      <alignment horizontal="left"/>
      <protection/>
    </xf>
    <xf numFmtId="0" fontId="65" fillId="0" borderId="79" xfId="56" applyFont="1" applyBorder="1" applyAlignment="1">
      <alignment horizontal="left"/>
      <protection/>
    </xf>
    <xf numFmtId="0" fontId="65" fillId="0" borderId="74" xfId="56" applyFont="1" applyBorder="1" applyAlignment="1">
      <alignment horizontal="left"/>
      <protection/>
    </xf>
    <xf numFmtId="0" fontId="6" fillId="0" borderId="174" xfId="62" applyFont="1" applyBorder="1" applyAlignment="1">
      <alignment horizontal="center" vertical="center"/>
      <protection/>
    </xf>
    <xf numFmtId="0" fontId="6" fillId="0" borderId="157" xfId="62" applyFont="1" applyBorder="1" applyAlignment="1">
      <alignment horizontal="center" vertical="center"/>
      <protection/>
    </xf>
    <xf numFmtId="0" fontId="7" fillId="0" borderId="117" xfId="62" applyFont="1" applyBorder="1" applyAlignment="1">
      <alignment horizontal="left"/>
      <protection/>
    </xf>
    <xf numFmtId="0" fontId="7" fillId="0" borderId="22" xfId="62" applyFont="1" applyBorder="1" applyAlignment="1">
      <alignment horizontal="left"/>
      <protection/>
    </xf>
    <xf numFmtId="0" fontId="7" fillId="0" borderId="118" xfId="62" applyFont="1" applyBorder="1" applyAlignment="1">
      <alignment horizontal="left"/>
      <protection/>
    </xf>
    <xf numFmtId="0" fontId="6" fillId="0" borderId="106" xfId="62" applyFont="1" applyBorder="1" applyAlignment="1">
      <alignment horizontal="left"/>
      <protection/>
    </xf>
    <xf numFmtId="0" fontId="6" fillId="0" borderId="15" xfId="62" applyFont="1" applyBorder="1" applyAlignment="1">
      <alignment horizontal="left"/>
      <protection/>
    </xf>
    <xf numFmtId="0" fontId="6" fillId="0" borderId="181" xfId="62" applyFont="1" applyBorder="1" applyAlignment="1">
      <alignment horizontal="left"/>
      <protection/>
    </xf>
    <xf numFmtId="0" fontId="6" fillId="0" borderId="96" xfId="62" applyFont="1" applyBorder="1" applyAlignment="1">
      <alignment horizontal="left" wrapText="1"/>
      <protection/>
    </xf>
    <xf numFmtId="0" fontId="6" fillId="0" borderId="97" xfId="62" applyFont="1" applyBorder="1" applyAlignment="1">
      <alignment horizontal="left" wrapText="1"/>
      <protection/>
    </xf>
    <xf numFmtId="0" fontId="6" fillId="0" borderId="89" xfId="62" applyFont="1" applyBorder="1" applyAlignment="1">
      <alignment horizontal="left"/>
      <protection/>
    </xf>
    <xf numFmtId="0" fontId="6" fillId="0" borderId="16" xfId="62" applyFont="1" applyBorder="1" applyAlignment="1">
      <alignment horizontal="left"/>
      <protection/>
    </xf>
    <xf numFmtId="0" fontId="6" fillId="0" borderId="107" xfId="62" applyFont="1" applyBorder="1" applyAlignment="1">
      <alignment horizontal="left"/>
      <protection/>
    </xf>
    <xf numFmtId="0" fontId="7" fillId="0" borderId="154" xfId="62" applyFont="1" applyBorder="1" applyAlignment="1">
      <alignment horizontal="center" vertical="center" wrapText="1"/>
      <protection/>
    </xf>
    <xf numFmtId="0" fontId="7" fillId="0" borderId="155" xfId="62" applyFont="1" applyBorder="1" applyAlignment="1">
      <alignment horizontal="center" vertical="center" wrapText="1"/>
      <protection/>
    </xf>
    <xf numFmtId="0" fontId="7" fillId="0" borderId="106" xfId="62" applyFont="1" applyBorder="1" applyAlignment="1">
      <alignment horizontal="center" vertical="center" wrapText="1"/>
      <protection/>
    </xf>
    <xf numFmtId="0" fontId="7" fillId="0" borderId="89" xfId="62" applyFont="1" applyBorder="1" applyAlignment="1">
      <alignment horizontal="center" vertical="center" wrapText="1"/>
      <protection/>
    </xf>
    <xf numFmtId="0" fontId="7" fillId="0" borderId="10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6" fillId="0" borderId="114" xfId="62" applyFont="1" applyBorder="1" applyAlignment="1">
      <alignment horizontal="left" wrapText="1"/>
      <protection/>
    </xf>
    <xf numFmtId="0" fontId="6" fillId="0" borderId="115" xfId="62" applyFont="1" applyBorder="1" applyAlignment="1">
      <alignment horizontal="left" wrapText="1"/>
      <protection/>
    </xf>
    <xf numFmtId="0" fontId="7" fillId="0" borderId="109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56" fillId="0" borderId="31" xfId="62" applyBorder="1" applyAlignment="1">
      <alignment horizontal="center" vertical="center" wrapText="1"/>
      <protection/>
    </xf>
    <xf numFmtId="0" fontId="7" fillId="0" borderId="110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56" fillId="0" borderId="56" xfId="62" applyBorder="1" applyAlignment="1">
      <alignment horizontal="center" vertical="center" wrapText="1"/>
      <protection/>
    </xf>
    <xf numFmtId="0" fontId="7" fillId="0" borderId="119" xfId="62" applyFont="1" applyBorder="1" applyAlignment="1">
      <alignment horizontal="center" vertical="center" wrapText="1"/>
      <protection/>
    </xf>
    <xf numFmtId="0" fontId="7" fillId="0" borderId="102" xfId="62" applyFont="1" applyBorder="1" applyAlignment="1">
      <alignment horizontal="center" vertical="center" wrapText="1"/>
      <protection/>
    </xf>
    <xf numFmtId="0" fontId="56" fillId="0" borderId="124" xfId="62" applyBorder="1" applyAlignment="1">
      <alignment horizontal="center" vertical="center" wrapText="1"/>
      <protection/>
    </xf>
    <xf numFmtId="0" fontId="51" fillId="0" borderId="187" xfId="0" applyFont="1" applyFill="1" applyBorder="1" applyAlignment="1">
      <alignment horizontal="left" vertical="center" shrinkToFit="1"/>
    </xf>
    <xf numFmtId="0" fontId="51" fillId="0" borderId="132" xfId="0" applyFont="1" applyFill="1" applyBorder="1" applyAlignment="1">
      <alignment horizontal="left" vertical="center" shrinkToFit="1"/>
    </xf>
    <xf numFmtId="0" fontId="36" fillId="0" borderId="0" xfId="0" applyFont="1" applyFill="1" applyAlignment="1">
      <alignment horizontal="right" vertical="center" shrinkToFit="1"/>
    </xf>
    <xf numFmtId="0" fontId="48" fillId="0" borderId="174" xfId="0" applyFont="1" applyFill="1" applyBorder="1" applyAlignment="1">
      <alignment horizontal="center" shrinkToFit="1"/>
    </xf>
    <xf numFmtId="0" fontId="48" fillId="0" borderId="157" xfId="0" applyFont="1" applyFill="1" applyBorder="1" applyAlignment="1">
      <alignment horizontal="center" shrinkToFit="1"/>
    </xf>
    <xf numFmtId="0" fontId="48" fillId="0" borderId="122" xfId="0" applyFont="1" applyFill="1" applyBorder="1" applyAlignment="1">
      <alignment horizontal="center" shrinkToFit="1"/>
    </xf>
    <xf numFmtId="0" fontId="51" fillId="0" borderId="26" xfId="0" applyFont="1" applyFill="1" applyBorder="1" applyAlignment="1">
      <alignment horizontal="left" vertical="center"/>
    </xf>
    <xf numFmtId="0" fontId="51" fillId="0" borderId="188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68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shrinkToFit="1"/>
    </xf>
    <xf numFmtId="0" fontId="21" fillId="0" borderId="25" xfId="0" applyFont="1" applyFill="1" applyBorder="1" applyAlignment="1">
      <alignment horizontal="center" shrinkToFit="1"/>
    </xf>
    <xf numFmtId="0" fontId="21" fillId="34" borderId="174" xfId="0" applyFont="1" applyFill="1" applyBorder="1" applyAlignment="1">
      <alignment horizontal="center" vertical="center" shrinkToFit="1"/>
    </xf>
    <xf numFmtId="0" fontId="21" fillId="34" borderId="157" xfId="0" applyFont="1" applyFill="1" applyBorder="1" applyAlignment="1">
      <alignment horizontal="center" vertical="center" shrinkToFit="1"/>
    </xf>
    <xf numFmtId="0" fontId="21" fillId="34" borderId="122" xfId="0" applyFont="1" applyFill="1" applyBorder="1" applyAlignment="1">
      <alignment horizontal="center" vertical="center" shrinkToFit="1"/>
    </xf>
    <xf numFmtId="0" fontId="21" fillId="0" borderId="174" xfId="0" applyFont="1" applyFill="1" applyBorder="1" applyAlignment="1">
      <alignment horizontal="center" vertical="center" shrinkToFit="1"/>
    </xf>
    <xf numFmtId="0" fontId="21" fillId="0" borderId="157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122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2" fontId="21" fillId="0" borderId="71" xfId="0" applyNumberFormat="1" applyFont="1" applyFill="1" applyBorder="1" applyAlignment="1">
      <alignment horizontal="center" shrinkToFit="1"/>
    </xf>
    <xf numFmtId="2" fontId="21" fillId="0" borderId="152" xfId="0" applyNumberFormat="1" applyFont="1" applyFill="1" applyBorder="1" applyAlignment="1">
      <alignment horizontal="center" shrinkToFit="1"/>
    </xf>
    <xf numFmtId="2" fontId="21" fillId="0" borderId="71" xfId="0" applyNumberFormat="1" applyFont="1" applyFill="1" applyBorder="1" applyAlignment="1">
      <alignment horizontal="center" vertical="center" shrinkToFit="1"/>
    </xf>
    <xf numFmtId="2" fontId="21" fillId="0" borderId="152" xfId="0" applyNumberFormat="1" applyFont="1" applyFill="1" applyBorder="1" applyAlignment="1">
      <alignment horizontal="center" vertical="center" shrinkToFit="1"/>
    </xf>
    <xf numFmtId="2" fontId="21" fillId="0" borderId="187" xfId="0" applyNumberFormat="1" applyFont="1" applyFill="1" applyBorder="1" applyAlignment="1">
      <alignment horizontal="center" vertical="center" shrinkToFit="1"/>
    </xf>
    <xf numFmtId="2" fontId="21" fillId="0" borderId="88" xfId="0" applyNumberFormat="1" applyFont="1" applyFill="1" applyBorder="1" applyAlignment="1">
      <alignment horizontal="center" vertical="center" shrinkToFit="1"/>
    </xf>
    <xf numFmtId="2" fontId="21" fillId="0" borderId="23" xfId="0" applyNumberFormat="1" applyFont="1" applyFill="1" applyBorder="1" applyAlignment="1">
      <alignment horizontal="center" shrinkToFit="1"/>
    </xf>
    <xf numFmtId="2" fontId="21" fillId="0" borderId="25" xfId="0" applyNumberFormat="1" applyFont="1" applyFill="1" applyBorder="1" applyAlignment="1">
      <alignment horizontal="center" shrinkToFit="1"/>
    </xf>
    <xf numFmtId="2" fontId="21" fillId="0" borderId="26" xfId="0" applyNumberFormat="1" applyFont="1" applyFill="1" applyBorder="1" applyAlignment="1">
      <alignment horizontal="center" shrinkToFit="1"/>
    </xf>
    <xf numFmtId="2" fontId="21" fillId="0" borderId="78" xfId="0" applyNumberFormat="1" applyFont="1" applyFill="1" applyBorder="1" applyAlignment="1">
      <alignment horizontal="center" shrinkToFit="1"/>
    </xf>
    <xf numFmtId="3" fontId="41" fillId="0" borderId="11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56" xfId="0" applyNumberFormat="1" applyFont="1" applyFill="1" applyBorder="1" applyAlignment="1">
      <alignment horizontal="center" vertical="center"/>
    </xf>
    <xf numFmtId="3" fontId="41" fillId="0" borderId="109" xfId="0" applyNumberFormat="1" applyFont="1" applyFill="1" applyBorder="1" applyAlignment="1">
      <alignment horizontal="center" vertical="center"/>
    </xf>
    <xf numFmtId="3" fontId="41" fillId="0" borderId="28" xfId="0" applyNumberFormat="1" applyFont="1" applyFill="1" applyBorder="1" applyAlignment="1">
      <alignment horizontal="center" vertical="center"/>
    </xf>
    <xf numFmtId="3" fontId="41" fillId="0" borderId="31" xfId="0" applyNumberFormat="1" applyFont="1" applyFill="1" applyBorder="1" applyAlignment="1">
      <alignment horizontal="center" vertical="center"/>
    </xf>
    <xf numFmtId="3" fontId="21" fillId="0" borderId="83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95" xfId="0" applyNumberFormat="1" applyFont="1" applyFill="1" applyBorder="1" applyAlignment="1">
      <alignment horizontal="center" vertical="center"/>
    </xf>
    <xf numFmtId="3" fontId="21" fillId="0" borderId="91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/>
    </xf>
    <xf numFmtId="3" fontId="41" fillId="0" borderId="189" xfId="0" applyNumberFormat="1" applyFont="1" applyFill="1" applyBorder="1" applyAlignment="1">
      <alignment horizontal="center" vertical="center"/>
    </xf>
    <xf numFmtId="3" fontId="41" fillId="0" borderId="190" xfId="0" applyNumberFormat="1" applyFont="1" applyFill="1" applyBorder="1" applyAlignment="1">
      <alignment horizontal="center" vertical="center"/>
    </xf>
    <xf numFmtId="3" fontId="41" fillId="0" borderId="191" xfId="0" applyNumberFormat="1" applyFont="1" applyFill="1" applyBorder="1" applyAlignment="1">
      <alignment horizontal="center" vertical="center"/>
    </xf>
    <xf numFmtId="49" fontId="21" fillId="0" borderId="66" xfId="0" applyNumberFormat="1" applyFont="1" applyFill="1" applyBorder="1" applyAlignment="1">
      <alignment horizontal="left" shrinkToFit="1"/>
    </xf>
    <xf numFmtId="49" fontId="21" fillId="0" borderId="128" xfId="0" applyNumberFormat="1" applyFont="1" applyFill="1" applyBorder="1" applyAlignment="1">
      <alignment horizontal="left" shrinkToFit="1"/>
    </xf>
    <xf numFmtId="49" fontId="21" fillId="0" borderId="39" xfId="0" applyNumberFormat="1" applyFont="1" applyFill="1" applyBorder="1" applyAlignment="1">
      <alignment horizontal="left" shrinkToFit="1"/>
    </xf>
    <xf numFmtId="3" fontId="21" fillId="0" borderId="71" xfId="0" applyNumberFormat="1" applyFont="1" applyFill="1" applyBorder="1" applyAlignment="1">
      <alignment horizontal="center" vertical="center"/>
    </xf>
    <xf numFmtId="3" fontId="21" fillId="0" borderId="72" xfId="0" applyNumberFormat="1" applyFont="1" applyFill="1" applyBorder="1" applyAlignment="1">
      <alignment horizontal="center" vertical="center"/>
    </xf>
    <xf numFmtId="3" fontId="21" fillId="0" borderId="152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144" xfId="0" applyNumberFormat="1" applyFont="1" applyFill="1" applyBorder="1" applyAlignment="1">
      <alignment horizontal="center" vertical="center"/>
    </xf>
    <xf numFmtId="3" fontId="21" fillId="0" borderId="78" xfId="0" applyNumberFormat="1" applyFont="1" applyFill="1" applyBorder="1" applyAlignment="1">
      <alignment horizontal="center" vertical="center"/>
    </xf>
    <xf numFmtId="49" fontId="21" fillId="0" borderId="82" xfId="0" applyNumberFormat="1" applyFont="1" applyFill="1" applyBorder="1" applyAlignment="1">
      <alignment horizontal="left" wrapText="1"/>
    </xf>
    <xf numFmtId="49" fontId="21" fillId="0" borderId="69" xfId="0" applyNumberFormat="1" applyFont="1" applyFill="1" applyBorder="1" applyAlignment="1">
      <alignment horizontal="left" wrapText="1"/>
    </xf>
    <xf numFmtId="49" fontId="21" fillId="0" borderId="38" xfId="0" applyNumberFormat="1" applyFont="1" applyFill="1" applyBorder="1" applyAlignment="1">
      <alignment horizontal="left" wrapText="1"/>
    </xf>
    <xf numFmtId="3" fontId="21" fillId="0" borderId="187" xfId="0" applyNumberFormat="1" applyFont="1" applyFill="1" applyBorder="1" applyAlignment="1">
      <alignment horizontal="center" vertical="center"/>
    </xf>
    <xf numFmtId="3" fontId="21" fillId="0" borderId="132" xfId="0" applyNumberFormat="1" applyFont="1" applyFill="1" applyBorder="1" applyAlignment="1">
      <alignment horizontal="center" vertical="center"/>
    </xf>
    <xf numFmtId="3" fontId="21" fillId="0" borderId="88" xfId="0" applyNumberFormat="1" applyFont="1" applyFill="1" applyBorder="1" applyAlignment="1">
      <alignment horizontal="center" vertical="center"/>
    </xf>
    <xf numFmtId="3" fontId="21" fillId="34" borderId="174" xfId="0" applyNumberFormat="1" applyFont="1" applyFill="1" applyBorder="1" applyAlignment="1">
      <alignment horizontal="center" vertical="center"/>
    </xf>
    <xf numFmtId="3" fontId="21" fillId="34" borderId="157" xfId="0" applyNumberFormat="1" applyFont="1" applyFill="1" applyBorder="1" applyAlignment="1">
      <alignment horizontal="center" vertical="center"/>
    </xf>
    <xf numFmtId="3" fontId="21" fillId="34" borderId="122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68" xfId="0" applyNumberFormat="1" applyFont="1" applyFill="1" applyBorder="1" applyAlignment="1">
      <alignment horizontal="center" vertical="center"/>
    </xf>
    <xf numFmtId="0" fontId="20" fillId="0" borderId="66" xfId="0" applyFont="1" applyBorder="1" applyAlignment="1">
      <alignment horizontal="left" vertical="center" wrapText="1"/>
    </xf>
    <xf numFmtId="0" fontId="20" fillId="0" borderId="85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82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left" vertical="center" wrapText="1"/>
    </xf>
    <xf numFmtId="0" fontId="20" fillId="0" borderId="167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92" xfId="0" applyFont="1" applyBorder="1" applyAlignment="1">
      <alignment horizontal="center" vertical="center" wrapText="1"/>
    </xf>
    <xf numFmtId="0" fontId="21" fillId="0" borderId="193" xfId="0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 quotePrefix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21" fillId="0" borderId="20" xfId="0" applyFont="1" applyBorder="1" applyAlignment="1" quotePrefix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shrinkToFit="1"/>
    </xf>
    <xf numFmtId="0" fontId="21" fillId="0" borderId="107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1" xfId="0" applyFont="1" applyBorder="1" applyAlignment="1">
      <alignment horizontal="center" vertical="center" wrapText="1"/>
    </xf>
    <xf numFmtId="0" fontId="21" fillId="0" borderId="16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3" fontId="19" fillId="0" borderId="181" xfId="69" applyNumberFormat="1" applyFont="1" applyFill="1" applyBorder="1" applyAlignment="1">
      <alignment horizontal="center" vertical="center" wrapText="1"/>
      <protection/>
    </xf>
    <xf numFmtId="3" fontId="19" fillId="0" borderId="168" xfId="69" applyNumberFormat="1" applyFont="1" applyFill="1" applyBorder="1" applyAlignment="1">
      <alignment horizontal="center" vertical="center" wrapText="1"/>
      <protection/>
    </xf>
    <xf numFmtId="3" fontId="44" fillId="0" borderId="113" xfId="69" applyNumberFormat="1" applyFont="1" applyFill="1" applyBorder="1" applyAlignment="1">
      <alignment horizontal="center" vertical="center"/>
      <protection/>
    </xf>
    <xf numFmtId="3" fontId="20" fillId="0" borderId="116" xfId="69" applyNumberFormat="1" applyFont="1" applyFill="1" applyBorder="1" applyAlignment="1">
      <alignment horizontal="center" vertical="center"/>
      <protection/>
    </xf>
    <xf numFmtId="3" fontId="20" fillId="0" borderId="168" xfId="69" applyNumberFormat="1" applyFont="1" applyFill="1" applyBorder="1" applyAlignment="1">
      <alignment horizontal="center" vertical="center"/>
      <protection/>
    </xf>
    <xf numFmtId="3" fontId="20" fillId="0" borderId="113" xfId="69" applyNumberFormat="1" applyFont="1" applyFill="1" applyBorder="1" applyAlignment="1">
      <alignment horizontal="center" vertical="center"/>
      <protection/>
    </xf>
    <xf numFmtId="1" fontId="19" fillId="0" borderId="11" xfId="69" applyNumberFormat="1" applyFont="1" applyFill="1" applyBorder="1" applyAlignment="1">
      <alignment horizontal="center" vertical="center" wrapText="1"/>
      <protection/>
    </xf>
    <xf numFmtId="1" fontId="18" fillId="0" borderId="20" xfId="0" applyNumberFormat="1" applyFont="1" applyBorder="1" applyAlignment="1">
      <alignment horizontal="center" vertical="center"/>
    </xf>
    <xf numFmtId="3" fontId="21" fillId="0" borderId="106" xfId="69" applyNumberFormat="1" applyFont="1" applyFill="1" applyBorder="1" applyAlignment="1">
      <alignment horizontal="center" vertical="center"/>
      <protection/>
    </xf>
    <xf numFmtId="3" fontId="21" fillId="0" borderId="15" xfId="69" applyNumberFormat="1" applyFont="1" applyFill="1" applyBorder="1" applyAlignment="1">
      <alignment horizontal="center" vertical="center"/>
      <protection/>
    </xf>
    <xf numFmtId="3" fontId="21" fillId="0" borderId="187" xfId="69" applyNumberFormat="1" applyFont="1" applyFill="1" applyBorder="1" applyAlignment="1">
      <alignment horizontal="center" vertical="center"/>
      <protection/>
    </xf>
    <xf numFmtId="3" fontId="21" fillId="0" borderId="132" xfId="69" applyNumberFormat="1" applyFont="1" applyFill="1" applyBorder="1" applyAlignment="1">
      <alignment horizontal="center" vertical="center"/>
      <protection/>
    </xf>
    <xf numFmtId="3" fontId="21" fillId="0" borderId="88" xfId="69" applyNumberFormat="1" applyFont="1" applyFill="1" applyBorder="1" applyAlignment="1">
      <alignment horizontal="center" vertical="center"/>
      <protection/>
    </xf>
    <xf numFmtId="3" fontId="44" fillId="0" borderId="106" xfId="69" applyNumberFormat="1" applyFont="1" applyFill="1" applyBorder="1" applyAlignment="1">
      <alignment horizontal="center" vertical="center"/>
      <protection/>
    </xf>
    <xf numFmtId="3" fontId="20" fillId="0" borderId="15" xfId="69" applyNumberFormat="1" applyFont="1" applyFill="1" applyBorder="1" applyAlignment="1">
      <alignment horizontal="center" vertical="center"/>
      <protection/>
    </xf>
    <xf numFmtId="3" fontId="20" fillId="0" borderId="29" xfId="69" applyNumberFormat="1" applyFont="1" applyFill="1" applyBorder="1" applyAlignment="1">
      <alignment horizontal="center" vertical="center"/>
      <protection/>
    </xf>
    <xf numFmtId="3" fontId="20" fillId="0" borderId="28" xfId="69" applyNumberFormat="1" applyFont="1" applyFill="1" applyBorder="1" applyAlignment="1">
      <alignment horizontal="center" vertical="center"/>
      <protection/>
    </xf>
    <xf numFmtId="3" fontId="20" fillId="0" borderId="30" xfId="69" applyNumberFormat="1" applyFont="1" applyFill="1" applyBorder="1" applyAlignment="1">
      <alignment horizontal="center" vertical="center"/>
      <protection/>
    </xf>
    <xf numFmtId="3" fontId="21" fillId="0" borderId="113" xfId="69" applyNumberFormat="1" applyFont="1" applyFill="1" applyBorder="1" applyAlignment="1">
      <alignment horizontal="center" vertical="center"/>
      <protection/>
    </xf>
    <xf numFmtId="3" fontId="21" fillId="0" borderId="116" xfId="69" applyNumberFormat="1" applyFont="1" applyFill="1" applyBorder="1" applyAlignment="1">
      <alignment horizontal="center" vertical="center"/>
      <protection/>
    </xf>
    <xf numFmtId="3" fontId="21" fillId="0" borderId="168" xfId="69" applyNumberFormat="1" applyFont="1" applyFill="1" applyBorder="1" applyAlignment="1">
      <alignment horizontal="center" vertical="center"/>
      <protection/>
    </xf>
    <xf numFmtId="3" fontId="20" fillId="0" borderId="107" xfId="69" applyNumberFormat="1" applyFont="1" applyFill="1" applyBorder="1" applyAlignment="1">
      <alignment horizontal="left" vertical="center" shrinkToFit="1"/>
      <protection/>
    </xf>
    <xf numFmtId="3" fontId="20" fillId="0" borderId="112" xfId="69" applyNumberFormat="1" applyFont="1" applyFill="1" applyBorder="1" applyAlignment="1">
      <alignment horizontal="left" vertical="center" shrinkToFit="1"/>
      <protection/>
    </xf>
    <xf numFmtId="3" fontId="20" fillId="0" borderId="107" xfId="69" applyNumberFormat="1" applyFont="1" applyFill="1" applyBorder="1" applyAlignment="1">
      <alignment horizontal="left" vertical="center" wrapText="1" indent="1"/>
      <protection/>
    </xf>
    <xf numFmtId="3" fontId="20" fillId="0" borderId="97" xfId="69" applyNumberFormat="1" applyFont="1" applyFill="1" applyBorder="1" applyAlignment="1">
      <alignment horizontal="left" vertical="center" wrapText="1" indent="1"/>
      <protection/>
    </xf>
    <xf numFmtId="3" fontId="20" fillId="0" borderId="112" xfId="69" applyNumberFormat="1" applyFont="1" applyFill="1" applyBorder="1" applyAlignment="1">
      <alignment horizontal="left" vertical="center" wrapText="1" indent="1"/>
      <protection/>
    </xf>
    <xf numFmtId="3" fontId="45" fillId="0" borderId="106" xfId="69" applyNumberFormat="1" applyFont="1" applyFill="1" applyBorder="1" applyAlignment="1">
      <alignment horizontal="center" vertical="center"/>
      <protection/>
    </xf>
    <xf numFmtId="3" fontId="21" fillId="0" borderId="71" xfId="69" applyNumberFormat="1" applyFont="1" applyFill="1" applyBorder="1" applyAlignment="1">
      <alignment horizontal="center" vertical="center"/>
      <protection/>
    </xf>
    <xf numFmtId="3" fontId="21" fillId="0" borderId="72" xfId="69" applyNumberFormat="1" applyFont="1" applyFill="1" applyBorder="1" applyAlignment="1">
      <alignment horizontal="center" vertical="center"/>
      <protection/>
    </xf>
    <xf numFmtId="3" fontId="21" fillId="0" borderId="152" xfId="69" applyNumberFormat="1" applyFont="1" applyFill="1" applyBorder="1" applyAlignment="1">
      <alignment horizontal="center" vertical="center"/>
      <protection/>
    </xf>
    <xf numFmtId="3" fontId="20" fillId="0" borderId="107" xfId="69" applyNumberFormat="1" applyFont="1" applyFill="1" applyBorder="1" applyAlignment="1">
      <alignment horizontal="center" vertical="center" wrapText="1"/>
      <protection/>
    </xf>
    <xf numFmtId="0" fontId="0" fillId="0" borderId="97" xfId="0" applyBorder="1" applyAlignment="1">
      <alignment/>
    </xf>
    <xf numFmtId="0" fontId="0" fillId="0" borderId="112" xfId="0" applyBorder="1" applyAlignment="1">
      <alignment/>
    </xf>
    <xf numFmtId="3" fontId="19" fillId="0" borderId="29" xfId="69" applyNumberFormat="1" applyFont="1" applyFill="1" applyBorder="1" applyAlignment="1">
      <alignment horizontal="center" vertical="center"/>
      <protection/>
    </xf>
    <xf numFmtId="3" fontId="19" fillId="0" borderId="30" xfId="69" applyNumberFormat="1" applyFont="1" applyFill="1" applyBorder="1" applyAlignment="1">
      <alignment horizontal="center" vertical="center"/>
      <protection/>
    </xf>
    <xf numFmtId="3" fontId="19" fillId="0" borderId="32" xfId="69" applyNumberFormat="1" applyFont="1" applyFill="1" applyBorder="1" applyAlignment="1">
      <alignment horizontal="center" vertical="center"/>
      <protection/>
    </xf>
    <xf numFmtId="3" fontId="19" fillId="0" borderId="68" xfId="69" applyNumberFormat="1" applyFont="1" applyFill="1" applyBorder="1" applyAlignment="1">
      <alignment horizontal="center" vertical="center"/>
      <protection/>
    </xf>
    <xf numFmtId="3" fontId="19" fillId="0" borderId="33" xfId="69" applyNumberFormat="1" applyFont="1" applyFill="1" applyBorder="1" applyAlignment="1">
      <alignment horizontal="center" vertical="center"/>
      <protection/>
    </xf>
    <xf numFmtId="3" fontId="19" fillId="0" borderId="34" xfId="69" applyNumberFormat="1" applyFont="1" applyFill="1" applyBorder="1" applyAlignment="1">
      <alignment horizontal="center" vertical="center"/>
      <protection/>
    </xf>
    <xf numFmtId="3" fontId="21" fillId="0" borderId="113" xfId="69" applyNumberFormat="1" applyFont="1" applyFill="1" applyBorder="1" applyAlignment="1">
      <alignment horizontal="left" vertical="center"/>
      <protection/>
    </xf>
    <xf numFmtId="0" fontId="20" fillId="0" borderId="116" xfId="0" applyFont="1" applyBorder="1" applyAlignment="1">
      <alignment horizontal="left" vertical="center"/>
    </xf>
    <xf numFmtId="0" fontId="20" fillId="0" borderId="158" xfId="0" applyFont="1" applyBorder="1" applyAlignment="1">
      <alignment horizontal="left" vertical="center"/>
    </xf>
    <xf numFmtId="1" fontId="19" fillId="0" borderId="13" xfId="69" applyNumberFormat="1" applyFont="1" applyFill="1" applyBorder="1" applyAlignment="1">
      <alignment horizontal="center" vertical="center" wrapText="1"/>
      <protection/>
    </xf>
    <xf numFmtId="1" fontId="19" fillId="0" borderId="20" xfId="69" applyNumberFormat="1" applyFont="1" applyFill="1" applyBorder="1" applyAlignment="1">
      <alignment horizontal="center" vertical="center" wrapText="1"/>
      <protection/>
    </xf>
    <xf numFmtId="3" fontId="21" fillId="0" borderId="174" xfId="69" applyNumberFormat="1" applyFont="1" applyFill="1" applyBorder="1" applyAlignment="1">
      <alignment horizontal="center" vertical="center"/>
      <protection/>
    </xf>
    <xf numFmtId="3" fontId="21" fillId="0" borderId="157" xfId="69" applyNumberFormat="1" applyFont="1" applyFill="1" applyBorder="1" applyAlignment="1">
      <alignment horizontal="center" vertical="center"/>
      <protection/>
    </xf>
    <xf numFmtId="3" fontId="21" fillId="0" borderId="160" xfId="69" applyNumberFormat="1" applyFont="1" applyFill="1" applyBorder="1" applyAlignment="1">
      <alignment horizontal="center" vertical="center"/>
      <protection/>
    </xf>
    <xf numFmtId="3" fontId="19" fillId="0" borderId="11" xfId="69" applyNumberFormat="1" applyFont="1" applyFill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3" fontId="21" fillId="0" borderId="32" xfId="69" applyNumberFormat="1" applyFont="1" applyFill="1" applyBorder="1" applyAlignment="1">
      <alignment horizontal="center" vertical="center"/>
      <protection/>
    </xf>
    <xf numFmtId="3" fontId="21" fillId="0" borderId="0" xfId="69" applyNumberFormat="1" applyFont="1" applyFill="1" applyBorder="1" applyAlignment="1">
      <alignment horizontal="center" vertical="center"/>
      <protection/>
    </xf>
    <xf numFmtId="3" fontId="21" fillId="0" borderId="68" xfId="69" applyNumberFormat="1" applyFont="1" applyFill="1" applyBorder="1" applyAlignment="1">
      <alignment horizontal="center" vertical="center"/>
      <protection/>
    </xf>
    <xf numFmtId="3" fontId="21" fillId="0" borderId="109" xfId="69" applyNumberFormat="1" applyFont="1" applyFill="1" applyBorder="1" applyAlignment="1">
      <alignment horizontal="left" vertical="center" wrapText="1"/>
      <protection/>
    </xf>
    <xf numFmtId="3" fontId="21" fillId="0" borderId="28" xfId="69" applyNumberFormat="1" applyFont="1" applyFill="1" applyBorder="1" applyAlignment="1">
      <alignment horizontal="left" vertical="center" wrapText="1"/>
      <protection/>
    </xf>
    <xf numFmtId="3" fontId="21" fillId="0" borderId="30" xfId="69" applyNumberFormat="1" applyFont="1" applyFill="1" applyBorder="1" applyAlignment="1">
      <alignment horizontal="left" vertical="center" wrapText="1"/>
      <protection/>
    </xf>
    <xf numFmtId="3" fontId="20" fillId="0" borderId="97" xfId="69" applyNumberFormat="1" applyFont="1" applyFill="1" applyBorder="1" applyAlignment="1">
      <alignment horizontal="center" vertical="center" wrapText="1"/>
      <protection/>
    </xf>
    <xf numFmtId="3" fontId="20" fillId="0" borderId="112" xfId="69" applyNumberFormat="1" applyFont="1" applyFill="1" applyBorder="1" applyAlignment="1">
      <alignment horizontal="center" vertical="center" wrapText="1"/>
      <protection/>
    </xf>
    <xf numFmtId="3" fontId="20" fillId="0" borderId="107" xfId="69" applyNumberFormat="1" applyFont="1" applyFill="1" applyBorder="1" applyAlignment="1">
      <alignment horizontal="left" vertical="center" indent="1" shrinkToFit="1"/>
      <protection/>
    </xf>
    <xf numFmtId="3" fontId="20" fillId="0" borderId="97" xfId="69" applyNumberFormat="1" applyFont="1" applyFill="1" applyBorder="1" applyAlignment="1">
      <alignment horizontal="left" vertical="center" indent="1" shrinkToFit="1"/>
      <protection/>
    </xf>
    <xf numFmtId="3" fontId="20" fillId="0" borderId="112" xfId="69" applyNumberFormat="1" applyFont="1" applyFill="1" applyBorder="1" applyAlignment="1">
      <alignment horizontal="left" vertical="center" indent="1" shrinkToFit="1"/>
      <protection/>
    </xf>
    <xf numFmtId="3" fontId="20" fillId="0" borderId="107" xfId="69" applyNumberFormat="1" applyFont="1" applyFill="1" applyBorder="1" applyAlignment="1">
      <alignment horizontal="center" vertical="center" shrinkToFit="1"/>
      <protection/>
    </xf>
    <xf numFmtId="3" fontId="20" fillId="0" borderId="112" xfId="69" applyNumberFormat="1" applyFont="1" applyFill="1" applyBorder="1" applyAlignment="1">
      <alignment horizontal="center" vertical="center" shrinkToFit="1"/>
      <protection/>
    </xf>
    <xf numFmtId="3" fontId="21" fillId="0" borderId="174" xfId="69" applyNumberFormat="1" applyFont="1" applyFill="1" applyBorder="1" applyAlignment="1">
      <alignment horizontal="center" vertical="center" wrapText="1"/>
      <protection/>
    </xf>
    <xf numFmtId="3" fontId="21" fillId="0" borderId="157" xfId="69" applyNumberFormat="1" applyFont="1" applyFill="1" applyBorder="1" applyAlignment="1">
      <alignment horizontal="center" vertical="center" wrapText="1"/>
      <protection/>
    </xf>
    <xf numFmtId="3" fontId="21" fillId="0" borderId="160" xfId="69" applyNumberFormat="1" applyFont="1" applyFill="1" applyBorder="1" applyAlignment="1">
      <alignment horizontal="center" vertical="center" wrapText="1"/>
      <protection/>
    </xf>
    <xf numFmtId="3" fontId="21" fillId="0" borderId="40" xfId="0" applyNumberFormat="1" applyFont="1" applyFill="1" applyBorder="1" applyAlignment="1">
      <alignment horizontal="right" vertical="center" shrinkToFit="1"/>
    </xf>
    <xf numFmtId="3" fontId="21" fillId="0" borderId="20" xfId="0" applyNumberFormat="1" applyFont="1" applyFill="1" applyBorder="1" applyAlignment="1">
      <alignment horizontal="right" vertical="center" shrinkToFit="1"/>
    </xf>
    <xf numFmtId="3" fontId="21" fillId="0" borderId="53" xfId="0" applyNumberFormat="1" applyFont="1" applyFill="1" applyBorder="1" applyAlignment="1">
      <alignment horizontal="right" vertical="center" shrinkToFit="1"/>
    </xf>
    <xf numFmtId="3" fontId="21" fillId="0" borderId="35" xfId="0" applyNumberFormat="1" applyFont="1" applyFill="1" applyBorder="1" applyAlignment="1">
      <alignment horizontal="right" vertical="center" shrinkToFit="1"/>
    </xf>
    <xf numFmtId="0" fontId="22" fillId="0" borderId="187" xfId="0" applyFont="1" applyFill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22" fillId="0" borderId="174" xfId="0" applyFont="1" applyFill="1" applyBorder="1" applyAlignment="1">
      <alignment horizontal="center" vertical="center" shrinkToFit="1"/>
    </xf>
    <xf numFmtId="0" fontId="22" fillId="0" borderId="157" xfId="0" applyFont="1" applyFill="1" applyBorder="1" applyAlignment="1">
      <alignment horizontal="center" vertical="center" shrinkToFit="1"/>
    </xf>
    <xf numFmtId="0" fontId="22" fillId="0" borderId="160" xfId="0" applyFont="1" applyFill="1" applyBorder="1" applyAlignment="1">
      <alignment horizontal="center" vertical="center" shrinkToFit="1"/>
    </xf>
    <xf numFmtId="0" fontId="21" fillId="0" borderId="187" xfId="0" applyFont="1" applyFill="1" applyBorder="1" applyAlignment="1">
      <alignment horizontal="left" vertical="center" shrinkToFit="1"/>
    </xf>
    <xf numFmtId="0" fontId="20" fillId="0" borderId="132" xfId="0" applyFont="1" applyFill="1" applyBorder="1" applyAlignment="1">
      <alignment horizontal="left" vertical="center" shrinkToFit="1"/>
    </xf>
    <xf numFmtId="0" fontId="20" fillId="0" borderId="88" xfId="0" applyFont="1" applyFill="1" applyBorder="1" applyAlignment="1">
      <alignment horizontal="left" vertical="center" shrinkToFit="1"/>
    </xf>
    <xf numFmtId="0" fontId="22" fillId="0" borderId="26" xfId="0" applyFont="1" applyFill="1" applyBorder="1" applyAlignment="1">
      <alignment vertical="center" shrinkToFit="1"/>
    </xf>
    <xf numFmtId="0" fontId="24" fillId="0" borderId="144" xfId="0" applyFont="1" applyFill="1" applyBorder="1" applyAlignment="1">
      <alignment vertical="center" shrinkToFit="1"/>
    </xf>
    <xf numFmtId="0" fontId="24" fillId="0" borderId="78" xfId="0" applyFont="1" applyFill="1" applyBorder="1" applyAlignment="1">
      <alignment vertical="center" shrinkToFit="1"/>
    </xf>
    <xf numFmtId="3" fontId="20" fillId="0" borderId="27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 vertical="center"/>
    </xf>
    <xf numFmtId="3" fontId="18" fillId="0" borderId="16" xfId="61" applyNumberFormat="1" applyFont="1" applyBorder="1" applyAlignment="1">
      <alignment horizontal="right"/>
      <protection/>
    </xf>
    <xf numFmtId="0" fontId="18" fillId="0" borderId="13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61" applyFont="1" applyBorder="1" applyAlignment="1">
      <alignment horizontal="left" vertical="center" wrapText="1"/>
      <protection/>
    </xf>
    <xf numFmtId="0" fontId="18" fillId="0" borderId="16" xfId="61" applyFont="1" applyBorder="1" applyAlignment="1">
      <alignment horizontal="left" vertical="center" wrapText="1"/>
      <protection/>
    </xf>
    <xf numFmtId="0" fontId="18" fillId="0" borderId="14" xfId="61" applyFont="1" applyBorder="1" applyAlignment="1">
      <alignment horizontal="left" vertical="center" wrapText="1"/>
      <protection/>
    </xf>
    <xf numFmtId="0" fontId="18" fillId="0" borderId="179" xfId="61" applyFont="1" applyBorder="1" applyAlignment="1">
      <alignment horizontal="right"/>
      <protection/>
    </xf>
    <xf numFmtId="0" fontId="18" fillId="0" borderId="74" xfId="61" applyFont="1" applyBorder="1" applyAlignment="1">
      <alignment horizontal="right"/>
      <protection/>
    </xf>
    <xf numFmtId="3" fontId="18" fillId="0" borderId="107" xfId="61" applyNumberFormat="1" applyFont="1" applyBorder="1" applyAlignment="1">
      <alignment horizontal="right"/>
      <protection/>
    </xf>
    <xf numFmtId="3" fontId="18" fillId="0" borderId="112" xfId="61" applyNumberFormat="1" applyFont="1" applyBorder="1" applyAlignment="1">
      <alignment horizontal="right"/>
      <protection/>
    </xf>
    <xf numFmtId="0" fontId="18" fillId="0" borderId="14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/>
      <protection/>
    </xf>
    <xf numFmtId="0" fontId="18" fillId="0" borderId="15" xfId="61" applyFont="1" applyBorder="1" applyAlignment="1">
      <alignment horizontal="center"/>
      <protection/>
    </xf>
    <xf numFmtId="0" fontId="18" fillId="0" borderId="17" xfId="61" applyFont="1" applyBorder="1" applyAlignment="1">
      <alignment horizontal="center"/>
      <protection/>
    </xf>
    <xf numFmtId="0" fontId="18" fillId="0" borderId="13" xfId="61" applyFont="1" applyBorder="1" applyAlignment="1">
      <alignment horizontal="left" vertical="center" wrapText="1"/>
      <protection/>
    </xf>
    <xf numFmtId="0" fontId="18" fillId="0" borderId="20" xfId="61" applyFont="1" applyBorder="1" applyAlignment="1">
      <alignment horizontal="left" vertical="center" wrapText="1"/>
      <protection/>
    </xf>
    <xf numFmtId="0" fontId="18" fillId="0" borderId="120" xfId="61" applyFont="1" applyBorder="1" applyAlignment="1">
      <alignment horizontal="right"/>
      <protection/>
    </xf>
    <xf numFmtId="0" fontId="18" fillId="0" borderId="194" xfId="61" applyFont="1" applyBorder="1" applyAlignment="1">
      <alignment horizontal="right"/>
      <protection/>
    </xf>
    <xf numFmtId="0" fontId="18" fillId="0" borderId="15" xfId="61" applyFont="1" applyBorder="1" applyAlignment="1">
      <alignment horizontal="right"/>
      <protection/>
    </xf>
    <xf numFmtId="0" fontId="18" fillId="0" borderId="16" xfId="61" applyFont="1" applyBorder="1" applyAlignment="1">
      <alignment horizontal="right"/>
      <protection/>
    </xf>
    <xf numFmtId="0" fontId="18" fillId="0" borderId="14" xfId="0" applyFont="1" applyBorder="1" applyAlignment="1">
      <alignment horizontal="center" vertical="center" wrapText="1"/>
    </xf>
    <xf numFmtId="3" fontId="18" fillId="0" borderId="14" xfId="61" applyNumberFormat="1" applyFont="1" applyBorder="1" applyAlignment="1">
      <alignment horizontal="right"/>
      <protection/>
    </xf>
    <xf numFmtId="0" fontId="18" fillId="0" borderId="0" xfId="61" applyFont="1" applyAlignment="1">
      <alignment horizontal="right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2" xfId="61" applyFont="1" applyBorder="1" applyAlignment="1">
      <alignment horizontal="right"/>
      <protection/>
    </xf>
    <xf numFmtId="0" fontId="18" fillId="0" borderId="13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left" vertical="center" wrapText="1"/>
      <protection/>
    </xf>
    <xf numFmtId="0" fontId="18" fillId="0" borderId="14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8" fillId="0" borderId="179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68" applyFont="1" applyBorder="1" applyAlignment="1">
      <alignment horizontal="left" vertical="center" wrapText="1" shrinkToFit="1"/>
      <protection/>
    </xf>
    <xf numFmtId="0" fontId="18" fillId="0" borderId="11" xfId="68" applyFont="1" applyBorder="1" applyAlignment="1">
      <alignment horizontal="left" vertical="center" wrapText="1" shrinkToFit="1"/>
      <protection/>
    </xf>
    <xf numFmtId="0" fontId="18" fillId="0" borderId="15" xfId="61" applyFont="1" applyBorder="1" applyAlignment="1">
      <alignment horizontal="center" vertical="center" wrapText="1"/>
      <protection/>
    </xf>
    <xf numFmtId="0" fontId="18" fillId="0" borderId="86" xfId="61" applyFont="1" applyBorder="1" applyAlignment="1">
      <alignment horizontal="center" vertical="center" wrapText="1"/>
      <protection/>
    </xf>
    <xf numFmtId="0" fontId="18" fillId="0" borderId="16" xfId="61" applyFont="1" applyBorder="1" applyAlignment="1">
      <alignment horizontal="center" vertical="center" wrapText="1"/>
      <protection/>
    </xf>
    <xf numFmtId="3" fontId="18" fillId="0" borderId="109" xfId="61" applyNumberFormat="1" applyFont="1" applyBorder="1" applyAlignment="1">
      <alignment horizontal="right"/>
      <protection/>
    </xf>
    <xf numFmtId="3" fontId="18" fillId="0" borderId="30" xfId="61" applyNumberFormat="1" applyFont="1" applyBorder="1" applyAlignment="1">
      <alignment horizontal="right"/>
      <protection/>
    </xf>
    <xf numFmtId="3" fontId="18" fillId="0" borderId="179" xfId="61" applyNumberFormat="1" applyFont="1" applyBorder="1" applyAlignment="1">
      <alignment horizontal="right"/>
      <protection/>
    </xf>
    <xf numFmtId="3" fontId="18" fillId="0" borderId="74" xfId="61" applyNumberFormat="1" applyFont="1" applyBorder="1" applyAlignment="1">
      <alignment horizontal="right"/>
      <protection/>
    </xf>
    <xf numFmtId="3" fontId="18" fillId="0" borderId="181" xfId="61" applyNumberFormat="1" applyFont="1" applyBorder="1" applyAlignment="1">
      <alignment horizontal="right"/>
      <protection/>
    </xf>
    <xf numFmtId="3" fontId="18" fillId="0" borderId="168" xfId="61" applyNumberFormat="1" applyFont="1" applyBorder="1" applyAlignment="1">
      <alignment horizontal="right"/>
      <protection/>
    </xf>
    <xf numFmtId="3" fontId="18" fillId="0" borderId="110" xfId="61" applyNumberFormat="1" applyFont="1" applyBorder="1" applyAlignment="1">
      <alignment horizontal="right"/>
      <protection/>
    </xf>
    <xf numFmtId="3" fontId="18" fillId="0" borderId="68" xfId="61" applyNumberFormat="1" applyFont="1" applyBorder="1" applyAlignment="1">
      <alignment horizontal="right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3" xfId="61" applyFont="1" applyBorder="1" applyAlignment="1">
      <alignment vertical="center"/>
      <protection/>
    </xf>
    <xf numFmtId="0" fontId="18" fillId="0" borderId="1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0" xfId="68" applyFont="1" applyBorder="1" applyAlignment="1">
      <alignment horizontal="left" vertical="center" wrapText="1" shrinkToFit="1"/>
      <protection/>
    </xf>
    <xf numFmtId="0" fontId="18" fillId="33" borderId="13" xfId="68" applyFont="1" applyFill="1" applyBorder="1" applyAlignment="1">
      <alignment horizontal="left" vertical="center" wrapText="1" shrinkToFit="1"/>
      <protection/>
    </xf>
    <xf numFmtId="0" fontId="18" fillId="33" borderId="11" xfId="68" applyFont="1" applyFill="1" applyBorder="1" applyAlignment="1">
      <alignment horizontal="left" vertical="center" wrapText="1" shrinkToFit="1"/>
      <protection/>
    </xf>
    <xf numFmtId="0" fontId="18" fillId="33" borderId="19" xfId="68" applyFont="1" applyFill="1" applyBorder="1" applyAlignment="1">
      <alignment horizontal="left" vertical="center" wrapText="1" shrinkToFit="1"/>
      <protection/>
    </xf>
    <xf numFmtId="0" fontId="23" fillId="0" borderId="0" xfId="61" applyFont="1" applyBorder="1" applyAlignment="1">
      <alignment vertical="center"/>
      <protection/>
    </xf>
    <xf numFmtId="0" fontId="32" fillId="0" borderId="0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68" applyFont="1" applyBorder="1" applyAlignment="1">
      <alignment horizontal="left" vertical="center" wrapText="1" shrinkToFit="1"/>
      <protection/>
    </xf>
    <xf numFmtId="0" fontId="18" fillId="0" borderId="17" xfId="0" applyFont="1" applyBorder="1" applyAlignment="1">
      <alignment horizontal="left" vertical="center" wrapText="1" shrinkToFi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0" fontId="18" fillId="0" borderId="179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11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23" fillId="0" borderId="102" xfId="61" applyFont="1" applyBorder="1" applyAlignment="1">
      <alignment vertical="center"/>
      <protection/>
    </xf>
    <xf numFmtId="0" fontId="32" fillId="0" borderId="10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94" fillId="0" borderId="124" xfId="0" applyFont="1" applyBorder="1" applyAlignment="1">
      <alignment horizontal="center" vertical="center"/>
    </xf>
    <xf numFmtId="0" fontId="65" fillId="0" borderId="181" xfId="0" applyFont="1" applyBorder="1" applyAlignment="1">
      <alignment horizontal="center"/>
    </xf>
    <xf numFmtId="0" fontId="65" fillId="0" borderId="116" xfId="0" applyFont="1" applyBorder="1" applyAlignment="1">
      <alignment horizontal="center"/>
    </xf>
    <xf numFmtId="0" fontId="65" fillId="0" borderId="168" xfId="0" applyFont="1" applyBorder="1" applyAlignment="1">
      <alignment horizontal="center"/>
    </xf>
    <xf numFmtId="0" fontId="23" fillId="0" borderId="114" xfId="0" applyFont="1" applyBorder="1" applyAlignment="1">
      <alignment horizontal="center" vertical="center"/>
    </xf>
    <xf numFmtId="0" fontId="23" fillId="0" borderId="19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162" xfId="0" applyFont="1" applyBorder="1" applyAlignment="1">
      <alignment horizontal="center" vertical="center"/>
    </xf>
    <xf numFmtId="3" fontId="65" fillId="0" borderId="16" xfId="0" applyNumberFormat="1" applyFont="1" applyBorder="1" applyAlignment="1">
      <alignment horizontal="right"/>
    </xf>
    <xf numFmtId="3" fontId="65" fillId="0" borderId="94" xfId="0" applyNumberFormat="1" applyFont="1" applyBorder="1" applyAlignment="1">
      <alignment horizontal="right"/>
    </xf>
    <xf numFmtId="3" fontId="65" fillId="0" borderId="118" xfId="0" applyNumberFormat="1" applyFont="1" applyBorder="1" applyAlignment="1">
      <alignment horizontal="right" vertical="center"/>
    </xf>
    <xf numFmtId="3" fontId="65" fillId="0" borderId="122" xfId="0" applyNumberFormat="1" applyFont="1" applyBorder="1" applyAlignment="1">
      <alignment horizontal="right" vertical="center"/>
    </xf>
    <xf numFmtId="16" fontId="65" fillId="0" borderId="175" xfId="0" applyNumberFormat="1" applyFont="1" applyBorder="1" applyAlignment="1" quotePrefix="1">
      <alignment horizontal="right"/>
    </xf>
    <xf numFmtId="0" fontId="65" fillId="0" borderId="180" xfId="0" applyFont="1" applyBorder="1" applyAlignment="1">
      <alignment horizontal="right"/>
    </xf>
    <xf numFmtId="0" fontId="65" fillId="0" borderId="175" xfId="0" applyFont="1" applyBorder="1" applyAlignment="1" quotePrefix="1">
      <alignment horizontal="right"/>
    </xf>
    <xf numFmtId="0" fontId="23" fillId="0" borderId="42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right"/>
    </xf>
    <xf numFmtId="3" fontId="23" fillId="0" borderId="100" xfId="0" applyNumberFormat="1" applyFont="1" applyBorder="1" applyAlignment="1">
      <alignment horizontal="right"/>
    </xf>
    <xf numFmtId="3" fontId="65" fillId="0" borderId="107" xfId="0" applyNumberFormat="1" applyFont="1" applyBorder="1" applyAlignment="1">
      <alignment horizontal="right"/>
    </xf>
    <xf numFmtId="3" fontId="65" fillId="0" borderId="156" xfId="0" applyNumberFormat="1" applyFont="1" applyBorder="1" applyAlignment="1">
      <alignment horizontal="right"/>
    </xf>
    <xf numFmtId="0" fontId="65" fillId="0" borderId="15" xfId="0" applyFont="1" applyBorder="1" applyAlignment="1">
      <alignment horizontal="center" vertical="center"/>
    </xf>
    <xf numFmtId="0" fontId="65" fillId="0" borderId="103" xfId="0" applyFont="1" applyBorder="1" applyAlignment="1">
      <alignment horizontal="center" vertical="center"/>
    </xf>
    <xf numFmtId="0" fontId="59" fillId="0" borderId="27" xfId="67" applyFont="1" applyBorder="1" applyAlignment="1">
      <alignment horizontal="right"/>
      <protection/>
    </xf>
    <xf numFmtId="0" fontId="97" fillId="0" borderId="195" xfId="67" applyFont="1" applyBorder="1" applyAlignment="1">
      <alignment horizontal="center" vertical="center" textRotation="255"/>
      <protection/>
    </xf>
    <xf numFmtId="0" fontId="97" fillId="0" borderId="159" xfId="67" applyFont="1" applyBorder="1" applyAlignment="1">
      <alignment horizontal="center" vertical="center" textRotation="255"/>
      <protection/>
    </xf>
    <xf numFmtId="0" fontId="97" fillId="0" borderId="196" xfId="67" applyFont="1" applyBorder="1" applyAlignment="1">
      <alignment horizontal="center" vertical="center" textRotation="255"/>
      <protection/>
    </xf>
    <xf numFmtId="0" fontId="63" fillId="0" borderId="195" xfId="67" applyFont="1" applyBorder="1" applyAlignment="1">
      <alignment horizontal="center" vertical="center" textRotation="255"/>
      <protection/>
    </xf>
    <xf numFmtId="0" fontId="63" fillId="0" borderId="159" xfId="67" applyFont="1" applyBorder="1" applyAlignment="1">
      <alignment horizontal="center" vertical="center" textRotation="255"/>
      <protection/>
    </xf>
    <xf numFmtId="0" fontId="63" fillId="0" borderId="196" xfId="67" applyFont="1" applyBorder="1" applyAlignment="1">
      <alignment horizontal="center" vertical="center" textRotation="255"/>
      <protection/>
    </xf>
    <xf numFmtId="0" fontId="59" fillId="0" borderId="33" xfId="67" applyFont="1" applyBorder="1" applyAlignment="1">
      <alignment horizontal="center" vertical="center"/>
      <protection/>
    </xf>
    <xf numFmtId="0" fontId="59" fillId="0" borderId="27" xfId="67" applyFont="1" applyBorder="1" applyAlignment="1">
      <alignment horizontal="center" vertical="center"/>
      <protection/>
    </xf>
    <xf numFmtId="0" fontId="59" fillId="0" borderId="34" xfId="67" applyFont="1" applyBorder="1" applyAlignment="1">
      <alignment horizontal="center" vertical="center"/>
      <protection/>
    </xf>
    <xf numFmtId="0" fontId="65" fillId="0" borderId="195" xfId="0" applyFont="1" applyBorder="1" applyAlignment="1">
      <alignment horizontal="right" vertical="center"/>
    </xf>
    <xf numFmtId="0" fontId="65" fillId="0" borderId="180" xfId="0" applyFont="1" applyBorder="1" applyAlignment="1">
      <alignment horizontal="right" vertical="center"/>
    </xf>
    <xf numFmtId="0" fontId="65" fillId="0" borderId="83" xfId="0" applyFont="1" applyBorder="1" applyAlignment="1">
      <alignment horizontal="center" vertical="center" wrapText="1"/>
    </xf>
    <xf numFmtId="0" fontId="65" fillId="0" borderId="92" xfId="0" applyFont="1" applyBorder="1" applyAlignment="1">
      <alignment horizontal="center" vertical="center" wrapText="1"/>
    </xf>
    <xf numFmtId="0" fontId="23" fillId="0" borderId="195" xfId="0" applyFont="1" applyBorder="1" applyAlignment="1">
      <alignment horizontal="center" vertical="center"/>
    </xf>
    <xf numFmtId="0" fontId="23" fillId="0" borderId="18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94" xfId="0" applyFont="1" applyBorder="1" applyAlignment="1">
      <alignment horizontal="center" vertical="center" wrapText="1"/>
    </xf>
    <xf numFmtId="3" fontId="19" fillId="0" borderId="195" xfId="0" applyNumberFormat="1" applyFont="1" applyFill="1" applyBorder="1" applyAlignment="1">
      <alignment horizontal="center" vertical="center" wrapText="1"/>
    </xf>
    <xf numFmtId="0" fontId="18" fillId="0" borderId="159" xfId="0" applyFont="1" applyBorder="1" applyAlignment="1">
      <alignment horizontal="center" vertical="center" wrapText="1"/>
    </xf>
    <xf numFmtId="0" fontId="18" fillId="0" borderId="196" xfId="0" applyFont="1" applyBorder="1" applyAlignment="1">
      <alignment horizontal="center" vertical="center" wrapText="1"/>
    </xf>
    <xf numFmtId="3" fontId="19" fillId="0" borderId="181" xfId="0" applyNumberFormat="1" applyFont="1" applyFill="1" applyBorder="1" applyAlignment="1">
      <alignment horizontal="center" vertical="center"/>
    </xf>
    <xf numFmtId="3" fontId="19" fillId="0" borderId="116" xfId="0" applyNumberFormat="1" applyFont="1" applyFill="1" applyBorder="1" applyAlignment="1">
      <alignment horizontal="center" vertical="center"/>
    </xf>
    <xf numFmtId="3" fontId="19" fillId="0" borderId="168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58" xfId="0" applyNumberFormat="1" applyFont="1" applyFill="1" applyBorder="1" applyAlignment="1">
      <alignment horizontal="center" vertical="center"/>
    </xf>
    <xf numFmtId="0" fontId="18" fillId="0" borderId="1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3" xfId="0" applyFont="1" applyBorder="1" applyAlignment="1">
      <alignment/>
    </xf>
    <xf numFmtId="0" fontId="18" fillId="0" borderId="168" xfId="0" applyFont="1" applyBorder="1" applyAlignment="1">
      <alignment/>
    </xf>
    <xf numFmtId="0" fontId="18" fillId="0" borderId="89" xfId="0" applyFont="1" applyBorder="1" applyAlignment="1">
      <alignment/>
    </xf>
    <xf numFmtId="0" fontId="18" fillId="0" borderId="16" xfId="0" applyFont="1" applyBorder="1" applyAlignment="1">
      <alignment/>
    </xf>
    <xf numFmtId="3" fontId="19" fillId="0" borderId="174" xfId="0" applyNumberFormat="1" applyFont="1" applyFill="1" applyBorder="1" applyAlignment="1">
      <alignment horizontal="left" vertical="center"/>
    </xf>
    <xf numFmtId="3" fontId="19" fillId="0" borderId="160" xfId="0" applyNumberFormat="1" applyFont="1" applyFill="1" applyBorder="1" applyAlignment="1">
      <alignment horizontal="left" vertical="center"/>
    </xf>
    <xf numFmtId="0" fontId="92" fillId="0" borderId="110" xfId="0" applyFont="1" applyBorder="1" applyAlignment="1">
      <alignment horizontal="center" wrapText="1"/>
    </xf>
    <xf numFmtId="0" fontId="92" fillId="0" borderId="0" xfId="0" applyFont="1" applyAlignment="1">
      <alignment horizontal="center" wrapText="1"/>
    </xf>
    <xf numFmtId="0" fontId="19" fillId="0" borderId="11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11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3" fontId="18" fillId="0" borderId="107" xfId="0" applyNumberFormat="1" applyFont="1" applyBorder="1" applyAlignment="1">
      <alignment horizontal="center"/>
    </xf>
    <xf numFmtId="3" fontId="18" fillId="0" borderId="97" xfId="0" applyNumberFormat="1" applyFont="1" applyBorder="1" applyAlignment="1">
      <alignment horizontal="center"/>
    </xf>
    <xf numFmtId="3" fontId="18" fillId="0" borderId="112" xfId="0" applyNumberFormat="1" applyFont="1" applyBorder="1" applyAlignment="1">
      <alignment horizontal="center"/>
    </xf>
    <xf numFmtId="3" fontId="19" fillId="0" borderId="110" xfId="0" applyNumberFormat="1" applyFont="1" applyFill="1" applyBorder="1" applyAlignment="1">
      <alignment horizontal="center" vertical="center" wrapText="1"/>
    </xf>
    <xf numFmtId="0" fontId="18" fillId="0" borderId="108" xfId="0" applyFont="1" applyBorder="1" applyAlignment="1">
      <alignment horizontal="center" vertical="center" wrapText="1"/>
    </xf>
    <xf numFmtId="3" fontId="19" fillId="0" borderId="107" xfId="0" applyNumberFormat="1" applyFont="1" applyBorder="1" applyAlignment="1">
      <alignment horizontal="center"/>
    </xf>
    <xf numFmtId="3" fontId="19" fillId="0" borderId="97" xfId="0" applyNumberFormat="1" applyFont="1" applyBorder="1" applyAlignment="1">
      <alignment horizontal="center"/>
    </xf>
    <xf numFmtId="3" fontId="19" fillId="0" borderId="112" xfId="0" applyNumberFormat="1" applyFont="1" applyBorder="1" applyAlignment="1">
      <alignment horizontal="center"/>
    </xf>
    <xf numFmtId="3" fontId="68" fillId="0" borderId="96" xfId="69" applyNumberFormat="1" applyFont="1" applyFill="1" applyBorder="1" applyAlignment="1">
      <alignment horizontal="center" vertical="center"/>
      <protection/>
    </xf>
    <xf numFmtId="3" fontId="68" fillId="0" borderId="97" xfId="69" applyNumberFormat="1" applyFont="1" applyFill="1" applyBorder="1" applyAlignment="1">
      <alignment horizontal="center" vertical="center"/>
      <protection/>
    </xf>
    <xf numFmtId="3" fontId="68" fillId="0" borderId="112" xfId="69" applyNumberFormat="1" applyFont="1" applyFill="1" applyBorder="1" applyAlignment="1">
      <alignment horizontal="center" vertical="center"/>
      <protection/>
    </xf>
    <xf numFmtId="3" fontId="68" fillId="0" borderId="11" xfId="69" applyNumberFormat="1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3" fontId="69" fillId="0" borderId="181" xfId="69" applyNumberFormat="1" applyFont="1" applyFill="1" applyBorder="1" applyAlignment="1">
      <alignment horizontal="center" vertical="center" wrapText="1"/>
      <protection/>
    </xf>
    <xf numFmtId="3" fontId="69" fillId="0" borderId="168" xfId="69" applyNumberFormat="1" applyFont="1" applyFill="1" applyBorder="1" applyAlignment="1">
      <alignment horizontal="center" vertical="center" wrapText="1"/>
      <protection/>
    </xf>
    <xf numFmtId="0" fontId="68" fillId="0" borderId="11" xfId="69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3" fontId="11" fillId="0" borderId="117" xfId="0" applyNumberFormat="1" applyFont="1" applyFill="1" applyBorder="1" applyAlignment="1">
      <alignment horizontal="left" vertical="center"/>
    </xf>
    <xf numFmtId="3" fontId="11" fillId="0" borderId="22" xfId="0" applyNumberFormat="1" applyFont="1" applyFill="1" applyBorder="1" applyAlignment="1">
      <alignment horizontal="left" vertical="center"/>
    </xf>
    <xf numFmtId="3" fontId="69" fillId="0" borderId="29" xfId="69" applyNumberFormat="1" applyFont="1" applyFill="1" applyBorder="1" applyAlignment="1">
      <alignment horizontal="center" vertical="center"/>
      <protection/>
    </xf>
    <xf numFmtId="3" fontId="69" fillId="0" borderId="30" xfId="69" applyNumberFormat="1" applyFont="1" applyFill="1" applyBorder="1" applyAlignment="1">
      <alignment horizontal="center" vertical="center"/>
      <protection/>
    </xf>
    <xf numFmtId="3" fontId="69" fillId="0" borderId="32" xfId="69" applyNumberFormat="1" applyFont="1" applyFill="1" applyBorder="1" applyAlignment="1">
      <alignment horizontal="center" vertical="center"/>
      <protection/>
    </xf>
    <xf numFmtId="3" fontId="69" fillId="0" borderId="68" xfId="69" applyNumberFormat="1" applyFont="1" applyFill="1" applyBorder="1" applyAlignment="1">
      <alignment horizontal="center" vertical="center"/>
      <protection/>
    </xf>
    <xf numFmtId="3" fontId="69" fillId="0" borderId="33" xfId="69" applyNumberFormat="1" applyFont="1" applyFill="1" applyBorder="1" applyAlignment="1">
      <alignment horizontal="center" vertical="center"/>
      <protection/>
    </xf>
    <xf numFmtId="3" fontId="69" fillId="0" borderId="34" xfId="69" applyNumberFormat="1" applyFont="1" applyFill="1" applyBorder="1" applyAlignment="1">
      <alignment horizontal="center" vertical="center"/>
      <protection/>
    </xf>
    <xf numFmtId="3" fontId="21" fillId="0" borderId="16" xfId="0" applyNumberFormat="1" applyFont="1" applyFill="1" applyBorder="1" applyAlignment="1">
      <alignment horizontal="right" vertical="center" shrinkToFit="1"/>
    </xf>
    <xf numFmtId="0" fontId="21" fillId="0" borderId="107" xfId="0" applyFont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1" fillId="0" borderId="112" xfId="0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vertical="center" shrinkToFit="1"/>
    </xf>
    <xf numFmtId="0" fontId="24" fillId="0" borderId="16" xfId="0" applyFont="1" applyFill="1" applyBorder="1" applyAlignment="1">
      <alignment vertical="center" shrinkToFit="1"/>
    </xf>
    <xf numFmtId="0" fontId="69" fillId="0" borderId="13" xfId="57" applyFont="1" applyFill="1" applyBorder="1" applyAlignment="1">
      <alignment horizontal="center" vertical="center" wrapText="1"/>
      <protection/>
    </xf>
    <xf numFmtId="0" fontId="69" fillId="0" borderId="11" xfId="57" applyFont="1" applyFill="1" applyBorder="1" applyAlignment="1">
      <alignment horizontal="center" vertical="center" wrapText="1"/>
      <protection/>
    </xf>
    <xf numFmtId="0" fontId="69" fillId="0" borderId="20" xfId="57" applyFont="1" applyFill="1" applyBorder="1" applyAlignment="1">
      <alignment horizontal="center" vertical="center" wrapText="1"/>
      <protection/>
    </xf>
    <xf numFmtId="0" fontId="69" fillId="0" borderId="95" xfId="57" applyFont="1" applyFill="1" applyBorder="1" applyAlignment="1">
      <alignment horizontal="center" vertical="center" wrapText="1"/>
      <protection/>
    </xf>
    <xf numFmtId="0" fontId="69" fillId="0" borderId="50" xfId="57" applyFont="1" applyFill="1" applyBorder="1" applyAlignment="1">
      <alignment horizontal="center" vertical="center" wrapText="1"/>
      <protection/>
    </xf>
    <xf numFmtId="0" fontId="69" fillId="0" borderId="91" xfId="57" applyFont="1" applyFill="1" applyBorder="1" applyAlignment="1">
      <alignment horizontal="center" vertical="center" wrapText="1"/>
      <protection/>
    </xf>
    <xf numFmtId="0" fontId="10" fillId="0" borderId="79" xfId="57" applyFont="1" applyFill="1" applyBorder="1" applyAlignment="1">
      <alignment horizontal="justify"/>
      <protection/>
    </xf>
    <xf numFmtId="0" fontId="10" fillId="0" borderId="0" xfId="57" applyFont="1" applyFill="1" applyAlignment="1">
      <alignment horizontal="justify"/>
      <protection/>
    </xf>
    <xf numFmtId="0" fontId="14" fillId="0" borderId="45" xfId="57" applyFont="1" applyFill="1" applyBorder="1" applyAlignment="1">
      <alignment horizontal="center" vertical="center"/>
      <protection/>
    </xf>
    <xf numFmtId="0" fontId="19" fillId="0" borderId="122" xfId="58" applyFont="1" applyFill="1" applyBorder="1" applyAlignment="1">
      <alignment horizontal="center" vertical="center" wrapText="1"/>
      <protection/>
    </xf>
    <xf numFmtId="0" fontId="19" fillId="0" borderId="111" xfId="58" applyFont="1" applyFill="1" applyBorder="1" applyAlignment="1">
      <alignment horizontal="center" vertical="center" wrapText="1"/>
      <protection/>
    </xf>
    <xf numFmtId="0" fontId="19" fillId="0" borderId="195" xfId="58" applyFont="1" applyBorder="1" applyAlignment="1">
      <alignment vertical="center" wrapText="1"/>
      <protection/>
    </xf>
    <xf numFmtId="0" fontId="19" fillId="0" borderId="196" xfId="58" applyFont="1" applyBorder="1" applyAlignment="1">
      <alignment vertical="center" wrapText="1"/>
      <protection/>
    </xf>
    <xf numFmtId="0" fontId="19" fillId="0" borderId="28" xfId="58" applyFont="1" applyBorder="1" applyAlignment="1">
      <alignment horizontal="center" vertical="center"/>
      <protection/>
    </xf>
    <xf numFmtId="0" fontId="19" fillId="0" borderId="34" xfId="58" applyFont="1" applyBorder="1" applyAlignment="1">
      <alignment horizontal="center" vertical="center"/>
      <protection/>
    </xf>
    <xf numFmtId="0" fontId="19" fillId="0" borderId="118" xfId="58" applyFont="1" applyFill="1" applyBorder="1" applyAlignment="1">
      <alignment horizontal="center" vertical="center" wrapText="1"/>
      <protection/>
    </xf>
    <xf numFmtId="0" fontId="19" fillId="0" borderId="160" xfId="58" applyFont="1" applyFill="1" applyBorder="1" applyAlignment="1">
      <alignment horizontal="center" vertical="center" wrapText="1"/>
      <protection/>
    </xf>
    <xf numFmtId="3" fontId="18" fillId="0" borderId="11" xfId="59" applyNumberFormat="1" applyFont="1" applyFill="1" applyBorder="1" applyAlignment="1">
      <alignment horizontal="right" vertical="center"/>
      <protection/>
    </xf>
    <xf numFmtId="0" fontId="18" fillId="0" borderId="11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3" fontId="19" fillId="0" borderId="50" xfId="59" applyNumberFormat="1" applyFont="1" applyFill="1" applyBorder="1" applyAlignment="1">
      <alignment horizontal="right" vertical="center"/>
      <protection/>
    </xf>
    <xf numFmtId="0" fontId="18" fillId="0" borderId="50" xfId="0" applyFont="1" applyBorder="1" applyAlignment="1">
      <alignment horizontal="right" vertical="center"/>
    </xf>
    <xf numFmtId="0" fontId="18" fillId="0" borderId="61" xfId="0" applyFont="1" applyBorder="1" applyAlignment="1">
      <alignment horizontal="right" vertical="center"/>
    </xf>
    <xf numFmtId="3" fontId="18" fillId="0" borderId="13" xfId="59" applyNumberFormat="1" applyFont="1" applyFill="1" applyBorder="1" applyAlignment="1">
      <alignment horizontal="right" vertical="center"/>
      <protection/>
    </xf>
    <xf numFmtId="0" fontId="18" fillId="0" borderId="21" xfId="59" applyFont="1" applyBorder="1" applyAlignment="1">
      <alignment horizontal="right" vertical="center"/>
      <protection/>
    </xf>
    <xf numFmtId="3" fontId="18" fillId="0" borderId="10" xfId="59" applyNumberFormat="1" applyFont="1" applyFill="1" applyBorder="1" applyAlignment="1">
      <alignment horizontal="right" vertical="center"/>
      <protection/>
    </xf>
    <xf numFmtId="0" fontId="18" fillId="0" borderId="11" xfId="70" applyFont="1" applyBorder="1" applyAlignment="1">
      <alignment horizontal="right" vertical="center"/>
      <protection/>
    </xf>
    <xf numFmtId="3" fontId="19" fillId="0" borderId="95" xfId="59" applyNumberFormat="1" applyFont="1" applyFill="1" applyBorder="1" applyAlignment="1">
      <alignment horizontal="right" vertical="center"/>
      <protection/>
    </xf>
    <xf numFmtId="0" fontId="18" fillId="0" borderId="91" xfId="70" applyFont="1" applyBorder="1" applyAlignment="1">
      <alignment horizontal="right" vertical="center"/>
      <protection/>
    </xf>
    <xf numFmtId="0" fontId="18" fillId="0" borderId="20" xfId="70" applyFont="1" applyBorder="1" applyAlignment="1">
      <alignment horizontal="right" vertical="center"/>
      <protection/>
    </xf>
    <xf numFmtId="3" fontId="19" fillId="0" borderId="153" xfId="59" applyNumberFormat="1" applyFont="1" applyFill="1" applyBorder="1" applyAlignment="1">
      <alignment horizontal="right" vertical="center"/>
      <protection/>
    </xf>
    <xf numFmtId="0" fontId="18" fillId="0" borderId="50" xfId="70" applyFont="1" applyBorder="1" applyAlignment="1">
      <alignment horizontal="right" vertical="center"/>
      <protection/>
    </xf>
    <xf numFmtId="0" fontId="10" fillId="0" borderId="0" xfId="59" applyFont="1" applyFill="1" applyBorder="1">
      <alignment/>
      <protection/>
    </xf>
    <xf numFmtId="0" fontId="18" fillId="0" borderId="11" xfId="59" applyFont="1" applyBorder="1" applyAlignment="1">
      <alignment horizontal="right" vertical="center"/>
      <protection/>
    </xf>
    <xf numFmtId="0" fontId="18" fillId="0" borderId="20" xfId="59" applyFont="1" applyBorder="1" applyAlignment="1">
      <alignment horizontal="right" vertical="center"/>
      <protection/>
    </xf>
    <xf numFmtId="3" fontId="19" fillId="0" borderId="13" xfId="59" applyNumberFormat="1" applyFont="1" applyFill="1" applyBorder="1" applyAlignment="1">
      <alignment horizontal="right" vertical="center"/>
      <protection/>
    </xf>
    <xf numFmtId="3" fontId="18" fillId="0" borderId="11" xfId="59" applyNumberFormat="1" applyFont="1" applyBorder="1" applyAlignment="1">
      <alignment horizontal="right" vertical="center"/>
      <protection/>
    </xf>
    <xf numFmtId="3" fontId="18" fillId="0" borderId="20" xfId="59" applyNumberFormat="1" applyFont="1" applyBorder="1" applyAlignment="1">
      <alignment horizontal="right" vertical="center"/>
      <protection/>
    </xf>
    <xf numFmtId="0" fontId="18" fillId="0" borderId="83" xfId="59" applyFont="1" applyFill="1" applyBorder="1" applyAlignment="1">
      <alignment horizontal="center" vertical="center" wrapText="1"/>
      <protection/>
    </xf>
    <xf numFmtId="0" fontId="18" fillId="0" borderId="45" xfId="59" applyFont="1" applyBorder="1" applyAlignment="1">
      <alignment horizontal="center" vertical="center" wrapText="1"/>
      <protection/>
    </xf>
    <xf numFmtId="0" fontId="18" fillId="0" borderId="84" xfId="59" applyFont="1" applyBorder="1" applyAlignment="1">
      <alignment horizontal="center" vertical="center" wrapText="1"/>
      <protection/>
    </xf>
    <xf numFmtId="0" fontId="18" fillId="0" borderId="13" xfId="59" applyFont="1" applyFill="1" applyBorder="1" applyAlignment="1">
      <alignment horizontal="center" vertical="center" wrapText="1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0" fontId="18" fillId="0" borderId="20" xfId="59" applyFont="1" applyFill="1" applyBorder="1" applyAlignment="1">
      <alignment horizontal="center" vertical="center" wrapText="1"/>
      <protection/>
    </xf>
    <xf numFmtId="0" fontId="18" fillId="0" borderId="95" xfId="59" applyFont="1" applyFill="1" applyBorder="1" applyAlignment="1">
      <alignment horizontal="center" vertical="center" wrapText="1"/>
      <protection/>
    </xf>
    <xf numFmtId="0" fontId="18" fillId="0" borderId="50" xfId="59" applyFont="1" applyFill="1" applyBorder="1" applyAlignment="1">
      <alignment horizontal="center" vertical="center" wrapText="1"/>
      <protection/>
    </xf>
    <xf numFmtId="0" fontId="18" fillId="0" borderId="91" xfId="59" applyFont="1" applyFill="1" applyBorder="1" applyAlignment="1">
      <alignment horizontal="center" vertical="center" wrapText="1"/>
      <protection/>
    </xf>
    <xf numFmtId="0" fontId="18" fillId="0" borderId="30" xfId="59" applyFont="1" applyFill="1" applyBorder="1" applyAlignment="1">
      <alignment horizontal="center" vertical="center"/>
      <protection/>
    </xf>
    <xf numFmtId="0" fontId="18" fillId="0" borderId="68" xfId="59" applyFont="1" applyBorder="1" applyAlignment="1">
      <alignment horizontal="center" vertical="center"/>
      <protection/>
    </xf>
    <xf numFmtId="0" fontId="18" fillId="0" borderId="34" xfId="59" applyFont="1" applyBorder="1" applyAlignment="1">
      <alignment horizontal="center" vertical="center"/>
      <protection/>
    </xf>
    <xf numFmtId="0" fontId="0" fillId="0" borderId="20" xfId="0" applyBorder="1" applyAlignment="1">
      <alignment horizontal="right" vertical="center"/>
    </xf>
    <xf numFmtId="3" fontId="19" fillId="0" borderId="91" xfId="59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6" fillId="0" borderId="83" xfId="60" applyFont="1" applyBorder="1" applyAlignment="1">
      <alignment horizontal="center" wrapText="1"/>
      <protection/>
    </xf>
    <xf numFmtId="0" fontId="62" fillId="0" borderId="45" xfId="60" applyBorder="1" applyAlignment="1">
      <alignment horizontal="center" wrapText="1"/>
      <protection/>
    </xf>
    <xf numFmtId="0" fontId="62" fillId="0" borderId="84" xfId="60" applyBorder="1" applyAlignment="1">
      <alignment horizontal="center" wrapText="1"/>
      <protection/>
    </xf>
    <xf numFmtId="0" fontId="6" fillId="0" borderId="0" xfId="60" applyFont="1" applyBorder="1">
      <alignment/>
      <protection/>
    </xf>
    <xf numFmtId="0" fontId="11" fillId="0" borderId="24" xfId="67" applyFont="1" applyFill="1" applyBorder="1" applyAlignment="1">
      <alignment horizontal="left" vertical="center"/>
      <protection/>
    </xf>
    <xf numFmtId="0" fontId="10" fillId="0" borderId="0" xfId="67" applyFont="1" applyFill="1" applyBorder="1" applyAlignment="1">
      <alignment horizontal="justify"/>
      <protection/>
    </xf>
    <xf numFmtId="0" fontId="10" fillId="0" borderId="0" xfId="67" applyFont="1" applyFill="1" applyAlignment="1">
      <alignment horizontal="justify"/>
      <protection/>
    </xf>
    <xf numFmtId="0" fontId="11" fillId="0" borderId="13" xfId="67" applyFont="1" applyFill="1" applyBorder="1" applyAlignment="1">
      <alignment horizontal="center" vertical="center" wrapText="1"/>
      <protection/>
    </xf>
    <xf numFmtId="0" fontId="11" fillId="0" borderId="11" xfId="67" applyFont="1" applyFill="1" applyBorder="1" applyAlignment="1">
      <alignment horizontal="center" vertical="center" wrapText="1"/>
      <protection/>
    </xf>
    <xf numFmtId="0" fontId="11" fillId="0" borderId="20" xfId="67" applyFont="1" applyFill="1" applyBorder="1" applyAlignment="1">
      <alignment horizontal="center" vertical="center" wrapText="1"/>
      <protection/>
    </xf>
    <xf numFmtId="0" fontId="11" fillId="0" borderId="95" xfId="67" applyFont="1" applyFill="1" applyBorder="1" applyAlignment="1">
      <alignment horizontal="center" vertical="center" wrapText="1"/>
      <protection/>
    </xf>
    <xf numFmtId="0" fontId="11" fillId="0" borderId="50" xfId="67" applyFont="1" applyFill="1" applyBorder="1" applyAlignment="1">
      <alignment horizontal="center" vertical="center" wrapText="1"/>
      <protection/>
    </xf>
    <xf numFmtId="0" fontId="11" fillId="0" borderId="91" xfId="67" applyFont="1" applyFill="1" applyBorder="1" applyAlignment="1">
      <alignment horizontal="center" vertical="center" wrapText="1"/>
      <protection/>
    </xf>
    <xf numFmtId="0" fontId="69" fillId="0" borderId="13" xfId="67" applyFont="1" applyFill="1" applyBorder="1" applyAlignment="1">
      <alignment horizontal="center" vertical="center" wrapText="1"/>
      <protection/>
    </xf>
    <xf numFmtId="0" fontId="69" fillId="0" borderId="11" xfId="67" applyFont="1" applyFill="1" applyBorder="1" applyAlignment="1">
      <alignment horizontal="center" vertical="center" wrapText="1"/>
      <protection/>
    </xf>
    <xf numFmtId="0" fontId="69" fillId="0" borderId="20" xfId="67" applyFont="1" applyFill="1" applyBorder="1" applyAlignment="1">
      <alignment horizontal="center" vertical="center" wrapText="1"/>
      <protection/>
    </xf>
    <xf numFmtId="0" fontId="69" fillId="0" borderId="95" xfId="67" applyFont="1" applyFill="1" applyBorder="1" applyAlignment="1">
      <alignment horizontal="center" vertical="center" wrapText="1"/>
      <protection/>
    </xf>
    <xf numFmtId="0" fontId="69" fillId="0" borderId="50" xfId="67" applyFont="1" applyFill="1" applyBorder="1" applyAlignment="1">
      <alignment horizontal="center" vertical="center" wrapText="1"/>
      <protection/>
    </xf>
    <xf numFmtId="0" fontId="69" fillId="0" borderId="91" xfId="67" applyFont="1" applyFill="1" applyBorder="1" applyAlignment="1">
      <alignment horizontal="center" vertical="center" wrapText="1"/>
      <protection/>
    </xf>
    <xf numFmtId="0" fontId="77" fillId="0" borderId="0" xfId="67" applyFont="1" applyAlignment="1">
      <alignment horizontal="left" vertical="center"/>
      <protection/>
    </xf>
    <xf numFmtId="0" fontId="11" fillId="0" borderId="83" xfId="67" applyFont="1" applyFill="1" applyBorder="1" applyAlignment="1">
      <alignment horizontal="left" vertical="center" wrapText="1"/>
      <protection/>
    </xf>
    <xf numFmtId="0" fontId="11" fillId="0" borderId="45" xfId="67" applyFont="1" applyFill="1" applyBorder="1" applyAlignment="1">
      <alignment horizontal="left" vertical="center" wrapText="1"/>
      <protection/>
    </xf>
    <xf numFmtId="0" fontId="11" fillId="0" borderId="84" xfId="67" applyFont="1" applyFill="1" applyBorder="1" applyAlignment="1">
      <alignment horizontal="left" vertical="center" wrapText="1"/>
      <protection/>
    </xf>
    <xf numFmtId="0" fontId="14" fillId="0" borderId="83" xfId="67" applyFont="1" applyFill="1" applyBorder="1" applyAlignment="1">
      <alignment horizontal="left" vertical="center" wrapText="1"/>
      <protection/>
    </xf>
    <xf numFmtId="0" fontId="14" fillId="0" borderId="45" xfId="67" applyFont="1" applyFill="1" applyBorder="1" applyAlignment="1">
      <alignment horizontal="left" vertical="center" wrapText="1"/>
      <protection/>
    </xf>
    <xf numFmtId="0" fontId="14" fillId="0" borderId="84" xfId="67" applyFont="1" applyFill="1" applyBorder="1" applyAlignment="1">
      <alignment horizontal="left" vertical="center" wrapText="1"/>
      <protection/>
    </xf>
    <xf numFmtId="0" fontId="78" fillId="0" borderId="174" xfId="66" applyFont="1" applyBorder="1" applyAlignment="1">
      <alignment horizontal="center" vertical="center"/>
      <protection/>
    </xf>
    <xf numFmtId="0" fontId="78" fillId="0" borderId="160" xfId="66" applyFont="1" applyBorder="1" applyAlignment="1">
      <alignment horizontal="center" vertical="center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.a-b melléklet" xfId="56"/>
    <cellStyle name="Normál_2005_zsz_10EM" xfId="57"/>
    <cellStyle name="Normál_2005_zsz_11EPJ" xfId="58"/>
    <cellStyle name="Normál_2005_zsz_12EPM" xfId="59"/>
    <cellStyle name="Normál_2005_zsz_13ERK" xfId="60"/>
    <cellStyle name="Normál_2009.évi" xfId="61"/>
    <cellStyle name="Normál_Céltart.11" xfId="62"/>
    <cellStyle name="Normal_KARSZJ3" xfId="63"/>
    <cellStyle name="Normál_kimutatások" xfId="64"/>
    <cellStyle name="Normál_közvetett tám" xfId="65"/>
    <cellStyle name="Normál_ktgvetés zárszám mellékletei 2" xfId="66"/>
    <cellStyle name="Normál_Mellékletek rendeleti" xfId="67"/>
    <cellStyle name="Normál_Munka1" xfId="68"/>
    <cellStyle name="Normál_végső rend. képv.mód-sal" xfId="69"/>
    <cellStyle name="Normál_zárszámadás2007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124450" y="5857875"/>
          <a:ext cx="3448050" cy="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 sz. kimutatás
</a:t>
          </a:r>
          <a:r>
            <a:rPr lang="en-US" cap="none" sz="800" b="0" i="0" u="none" baseline="0">
              <a:solidFill>
                <a:srgbClr val="000000"/>
              </a:solidFill>
            </a:rPr>
            <a:t>2004. évi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ÁLTALÁNOS ÉS CÉLTARTALÉKOK alakulása célonkénti bontásban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</xdr:row>
      <xdr:rowOff>0</xdr:rowOff>
    </xdr:from>
    <xdr:to>
      <xdr:col>6</xdr:col>
      <xdr:colOff>257175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14475" y="95250"/>
          <a:ext cx="7715250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melléklet a 8/2013.(IV.24.)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Több éves kihatással járó döntések (előirányzatai) számszerűsítése évenkénti bontásban és összesítve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0</xdr:row>
      <xdr:rowOff>0</xdr:rowOff>
    </xdr:from>
    <xdr:to>
      <xdr:col>9</xdr:col>
      <xdr:colOff>276225</xdr:colOff>
      <xdr:row>2</xdr:row>
      <xdr:rowOff>57150</xdr:rowOff>
    </xdr:to>
    <xdr:sp>
      <xdr:nvSpPr>
        <xdr:cNvPr id="1" name="Szöveg 1" descr="5%-os"/>
        <xdr:cNvSpPr>
          <a:spLocks/>
        </xdr:cNvSpPr>
      </xdr:nvSpPr>
      <xdr:spPr>
        <a:xfrm>
          <a:off x="2152650" y="0"/>
          <a:ext cx="7591425" cy="3810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10.  melléklet a 8/2013. (IV.24.) önkormányzati rendelethez
</a:t>
          </a:r>
          <a:r>
            <a:rPr lang="en-US" cap="none" sz="800" b="0" i="0" u="none" baseline="0">
              <a:solidFill>
                <a:srgbClr val="000000"/>
              </a:solidFill>
            </a:rPr>
            <a:t>Önkormányzati hitelek és nyújtott kölcsönök állománya lejárat, hitelezők/kötelezettek és eszköz részletezettsége szerint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66675</xdr:rowOff>
    </xdr:from>
    <xdr:to>
      <xdr:col>7</xdr:col>
      <xdr:colOff>819150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19175" y="66675"/>
          <a:ext cx="7458075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 melléklet a 8/2013. (IV.24.) önkormányzati rendelethez
</a:t>
          </a:r>
          <a:r>
            <a:rPr lang="en-US" cap="none" sz="1000" b="0" i="0" u="none" baseline="0">
              <a:solidFill>
                <a:srgbClr val="000000"/>
              </a:solidFill>
            </a:rPr>
            <a:t>Intézményi és központosított pénzeszközváltozások és pénzmaradványok a 2012. évben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0</xdr:row>
      <xdr:rowOff>76200</xdr:rowOff>
    </xdr:from>
    <xdr:to>
      <xdr:col>11</xdr:col>
      <xdr:colOff>600075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0" y="76200"/>
          <a:ext cx="6705600" cy="247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12. melléklet a 8/2013. (IV.24.) önkormányzati rendelethez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123825</xdr:rowOff>
    </xdr:from>
    <xdr:to>
      <xdr:col>3</xdr:col>
      <xdr:colOff>0</xdr:colOff>
      <xdr:row>2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866775" y="123825"/>
          <a:ext cx="5438775" cy="247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12. melléklet a 8/2013. (IV.24.) önkormányzati rendelethez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0</xdr:row>
      <xdr:rowOff>133350</xdr:rowOff>
    </xdr:from>
    <xdr:to>
      <xdr:col>4</xdr:col>
      <xdr:colOff>619125</xdr:colOff>
      <xdr:row>5</xdr:row>
      <xdr:rowOff>38100</xdr:rowOff>
    </xdr:to>
    <xdr:sp>
      <xdr:nvSpPr>
        <xdr:cNvPr id="1" name="Szöveg 1" descr="5%-os"/>
        <xdr:cNvSpPr>
          <a:spLocks/>
        </xdr:cNvSpPr>
      </xdr:nvSpPr>
      <xdr:spPr>
        <a:xfrm>
          <a:off x="1495425" y="123825"/>
          <a:ext cx="3562350" cy="6858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13.  melléklet a 8/2013. (IV.24.) önkormányzati  rendelethez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MÉRLEG
</a:t>
          </a:r>
          <a:r>
            <a:rPr lang="en-US" cap="none" sz="800" b="1" i="0" u="none" baseline="0">
              <a:solidFill>
                <a:srgbClr val="000000"/>
              </a:solidFill>
            </a:rPr>
            <a:t>2012.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76200</xdr:rowOff>
    </xdr:from>
    <xdr:to>
      <xdr:col>3</xdr:col>
      <xdr:colOff>0</xdr:colOff>
      <xdr:row>3</xdr:row>
      <xdr:rowOff>95250</xdr:rowOff>
    </xdr:to>
    <xdr:sp>
      <xdr:nvSpPr>
        <xdr:cNvPr id="1" name="Szöveg 1" descr="5%-os"/>
        <xdr:cNvSpPr>
          <a:spLocks/>
        </xdr:cNvSpPr>
      </xdr:nvSpPr>
      <xdr:spPr>
        <a:xfrm>
          <a:off x="1333500" y="66675"/>
          <a:ext cx="3714750" cy="504825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14.  melléklet a 8/2013. (IV.24.) önkormányzati  rendelethez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ÉVES PÉNZFORGALMI JELENTÉS
</a:t>
          </a:r>
          <a:r>
            <a:rPr lang="en-US" cap="none" sz="800" b="1" i="0" u="none" baseline="0">
              <a:solidFill>
                <a:srgbClr val="000000"/>
              </a:solidFill>
            </a:rPr>
            <a:t>2012.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28575</xdr:rowOff>
    </xdr:from>
    <xdr:to>
      <xdr:col>7</xdr:col>
      <xdr:colOff>76200</xdr:colOff>
      <xdr:row>6</xdr:row>
      <xdr:rowOff>0</xdr:rowOff>
    </xdr:to>
    <xdr:sp>
      <xdr:nvSpPr>
        <xdr:cNvPr id="1" name="Szöveg 1" descr="5%-os"/>
        <xdr:cNvSpPr>
          <a:spLocks/>
        </xdr:cNvSpPr>
      </xdr:nvSpPr>
      <xdr:spPr>
        <a:xfrm>
          <a:off x="542925" y="180975"/>
          <a:ext cx="5114925" cy="771525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15. melléklet a 8/2013. (IV.24.) önkormányzati rendelethez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PÉNZMARADVÁNY-KIMUTATÁS
</a:t>
          </a:r>
          <a:r>
            <a:rPr lang="en-US" cap="none" sz="800" b="1" i="0" u="none" baseline="0">
              <a:solidFill>
                <a:srgbClr val="000000"/>
              </a:solidFill>
            </a:rPr>
            <a:t>2012.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9525</xdr:rowOff>
    </xdr:from>
    <xdr:to>
      <xdr:col>6</xdr:col>
      <xdr:colOff>742950</xdr:colOff>
      <xdr:row>3</xdr:row>
      <xdr:rowOff>152400</xdr:rowOff>
    </xdr:to>
    <xdr:sp>
      <xdr:nvSpPr>
        <xdr:cNvPr id="1" name="Szöveg 1"/>
        <xdr:cNvSpPr>
          <a:spLocks/>
        </xdr:cNvSpPr>
      </xdr:nvSpPr>
      <xdr:spPr>
        <a:xfrm>
          <a:off x="1362075" y="9525"/>
          <a:ext cx="64770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16. melléklet a 8/2013. (IV.24..) önkormányzati rendelethez
</a:t>
          </a:r>
          <a:r>
            <a:rPr lang="en-US" cap="none" sz="1000" b="1" i="0" u="none" baseline="0">
              <a:solidFill>
                <a:srgbClr val="000000"/>
              </a:solidFill>
            </a:rPr>
            <a:t>EGYSZERŰSÍTETT VÁLLALKOZÁSI MARADVÁNY-KIMUTATÁS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2012. december 31.</a:t>
          </a:r>
        </a:p>
      </xdr:txBody>
    </xdr:sp>
    <xdr:clientData/>
  </xdr:twoCellAnchor>
  <xdr:twoCellAnchor>
    <xdr:from>
      <xdr:col>3</xdr:col>
      <xdr:colOff>381000</xdr:colOff>
      <xdr:row>6</xdr:row>
      <xdr:rowOff>114300</xdr:rowOff>
    </xdr:from>
    <xdr:to>
      <xdr:col>4</xdr:col>
      <xdr:colOff>57150</xdr:colOff>
      <xdr:row>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62525" y="981075"/>
          <a:ext cx="371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6</xdr:col>
      <xdr:colOff>342900</xdr:colOff>
      <xdr:row>6</xdr:row>
      <xdr:rowOff>76200</xdr:rowOff>
    </xdr:from>
    <xdr:to>
      <xdr:col>7</xdr:col>
      <xdr:colOff>142875</xdr:colOff>
      <xdr:row>7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39025" y="94297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0</xdr:row>
      <xdr:rowOff>19050</xdr:rowOff>
    </xdr:from>
    <xdr:to>
      <xdr:col>4</xdr:col>
      <xdr:colOff>228600</xdr:colOff>
      <xdr:row>2</xdr:row>
      <xdr:rowOff>9525</xdr:rowOff>
    </xdr:to>
    <xdr:sp>
      <xdr:nvSpPr>
        <xdr:cNvPr id="1" name="Szöveg 1" descr="5%-os"/>
        <xdr:cNvSpPr>
          <a:spLocks/>
        </xdr:cNvSpPr>
      </xdr:nvSpPr>
      <xdr:spPr>
        <a:xfrm>
          <a:off x="1990725" y="19050"/>
          <a:ext cx="3400425" cy="3048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17. melléklet a  8 / 2013. (IV.24. ) önkormányzati  rendelethez
</a:t>
          </a:r>
          <a:r>
            <a:rPr lang="en-US" cap="none" sz="800" b="0" i="0" u="none" baseline="0">
              <a:solidFill>
                <a:srgbClr val="000000"/>
              </a:solidFill>
            </a:rPr>
            <a:t>Önkormányzat vagyonkimutatása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2619375</xdr:colOff>
      <xdr:row>0</xdr:row>
      <xdr:rowOff>114300</xdr:rowOff>
    </xdr:from>
    <xdr:to>
      <xdr:col>12</xdr:col>
      <xdr:colOff>247650</xdr:colOff>
      <xdr:row>2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2857500" y="114300"/>
          <a:ext cx="7191375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1. melléklet a 8/2013. (IV.24.) önkormányzati rendelethez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 
</a:t>
          </a:r>
          <a:r>
            <a:rPr lang="en-US" cap="none" sz="700" b="1" i="0" u="none" baseline="0">
              <a:solidFill>
                <a:srgbClr val="000000"/>
              </a:solidFill>
            </a:rPr>
            <a:t>(Az előirányzatok felhasználásának alakulásáról 2012. évben)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0</xdr:rowOff>
    </xdr:from>
    <xdr:to>
      <xdr:col>7</xdr:col>
      <xdr:colOff>790575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942975" y="142875"/>
          <a:ext cx="8610600" cy="1009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18. melléklet a 8/2013. (IV.24.)  önk rendelethez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Az Önkományzat adósságot keletkeztető fejlesztési célja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104775</xdr:rowOff>
    </xdr:from>
    <xdr:to>
      <xdr:col>3</xdr:col>
      <xdr:colOff>571500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47800" y="104775"/>
          <a:ext cx="4219575" cy="5524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 melléklet  a 8/2013. (IV.24.) önkormányzati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2012.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4</xdr:col>
      <xdr:colOff>647700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33475" y="0"/>
          <a:ext cx="65817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sz. melléklet a  /2007.(      ) önk. rendelethez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 sz. melléklet az  5/2007. (III.1.)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2007.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BEVÉTELEI ÉS KIADÁSAI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819150</xdr:colOff>
      <xdr:row>0</xdr:row>
      <xdr:rowOff>47625</xdr:rowOff>
    </xdr:from>
    <xdr:to>
      <xdr:col>4</xdr:col>
      <xdr:colOff>228600</xdr:colOff>
      <xdr:row>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352550" y="47625"/>
          <a:ext cx="5943600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melléklet a 8/2013. (IV.24.) önkormányzati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2012. ÉVI KÖLTSÉGVETÉSÉNEK BEVÉTELEI ÉS KIADÁSAI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1</xdr:row>
      <xdr:rowOff>47625</xdr:rowOff>
    </xdr:from>
    <xdr:to>
      <xdr:col>9</xdr:col>
      <xdr:colOff>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57350" y="209550"/>
          <a:ext cx="658177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melléklet a 8/2013. (IV.24.) önkormányzati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AZ ÖNKORMÁNYZAT ÁLTAL IRÁNYÍTOTT KÖLTSÉGVETÉSI SZERVEK  2012. ÉVI BEVÉTELEI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2476500</xdr:colOff>
      <xdr:row>0</xdr:row>
      <xdr:rowOff>0</xdr:rowOff>
    </xdr:from>
    <xdr:to>
      <xdr:col>10</xdr:col>
      <xdr:colOff>9525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438525" y="0"/>
          <a:ext cx="4133850" cy="571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 melléklet a 8/2013. (IV.24.) önkormányzati rendelethez
</a:t>
          </a:r>
          <a:r>
            <a:rPr lang="en-US" cap="none" sz="1000" b="0" i="0" u="none" baseline="0">
              <a:solidFill>
                <a:srgbClr val="000000"/>
              </a:solidFill>
            </a:rPr>
            <a:t>2012. ÉVI KÖLTSÉGVETÉSI KIADÁSOK
</a:t>
          </a:r>
          <a:r>
            <a:rPr lang="en-US" cap="none" sz="10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57150</xdr:rowOff>
    </xdr:from>
    <xdr:to>
      <xdr:col>2</xdr:col>
      <xdr:colOff>5676900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76275" y="209550"/>
          <a:ext cx="5486400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 melléklet a 8/2013. (IV.24.) önkormányzati rendelethez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ÉS EGYÉB FELHALMOZÁSI JELLEGŰ KIADÁSOK
</a:t>
          </a:r>
          <a:r>
            <a:rPr lang="en-US" cap="none" sz="700" b="1" i="0" u="none" baseline="0">
              <a:solidFill>
                <a:srgbClr val="000000"/>
              </a:solidFill>
            </a:rPr>
            <a:t>( beruházásonként, felújításonként 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3</xdr:row>
      <xdr:rowOff>0</xdr:rowOff>
    </xdr:from>
    <xdr:to>
      <xdr:col>4</xdr:col>
      <xdr:colOff>790575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228850" y="485775"/>
          <a:ext cx="5762625" cy="819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7. melléklet a 8/2013. (IV.24.) önkormányzati rendelethez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2012. ÉVI CÉLTARTALÉKA
</a:t>
          </a:r>
          <a:r>
            <a:rPr lang="en-US" cap="none" sz="10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533525" y="0"/>
          <a:ext cx="388620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152400</xdr:colOff>
      <xdr:row>1</xdr:row>
      <xdr:rowOff>0</xdr:rowOff>
    </xdr:from>
    <xdr:to>
      <xdr:col>8</xdr:col>
      <xdr:colOff>28575</xdr:colOff>
      <xdr:row>3</xdr:row>
      <xdr:rowOff>95250</xdr:rowOff>
    </xdr:to>
    <xdr:sp>
      <xdr:nvSpPr>
        <xdr:cNvPr id="82" name="AutoShape 1"/>
        <xdr:cNvSpPr>
          <a:spLocks/>
        </xdr:cNvSpPr>
      </xdr:nvSpPr>
      <xdr:spPr>
        <a:xfrm>
          <a:off x="552450" y="190500"/>
          <a:ext cx="9667875" cy="4476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8. melléklet  a 8/2013. (IV.24.) önkormányzati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2012. ÉVI EURÓPAI UNIÓS FORRÁSBÓL FINANSZÍROZOTT TÁMOGATÁSSAL MEGVALÓSULÓ PROGRAMJAI, PROJEKTJEI, ILLETVE ILYEN PROJEKTEKHEZ TÖRTÉNŐ HOZZÁJÁRULÁSAI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lnarEva\Dokumentumok\2012\rendeletm&#243;dos&#237;t&#225;s\augusztus\ktgvet&#233;s%20rend%20m&#243;d%20au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"/>
      <sheetName val="2.mell"/>
      <sheetName val="3.mell"/>
      <sheetName val="4.mell "/>
      <sheetName val="5.mell"/>
      <sheetName val="6.mell"/>
      <sheetName val="7.mell"/>
      <sheetName val="8  EU"/>
    </sheetNames>
    <sheetDataSet>
      <sheetData sheetId="1">
        <row r="37"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75390625" style="1423" customWidth="1"/>
    <col min="2" max="2" width="61.625" style="1424" customWidth="1"/>
    <col min="3" max="3" width="15.25390625" style="1420" customWidth="1"/>
    <col min="4" max="4" width="13.75390625" style="1420" customWidth="1"/>
    <col min="5" max="16384" width="9.125" style="1348" customWidth="1"/>
  </cols>
  <sheetData>
    <row r="1" spans="1:4" ht="13.5" customHeight="1">
      <c r="A1" s="1727" t="s">
        <v>334</v>
      </c>
      <c r="B1" s="1728"/>
      <c r="C1" s="1721" t="s">
        <v>375</v>
      </c>
      <c r="D1" s="1722"/>
    </row>
    <row r="2" spans="1:4" ht="12.75" customHeight="1">
      <c r="A2" s="1729"/>
      <c r="B2" s="1730"/>
      <c r="C2" s="1349" t="s">
        <v>187</v>
      </c>
      <c r="D2" s="1350" t="s">
        <v>188</v>
      </c>
    </row>
    <row r="3" spans="1:4" ht="25.5">
      <c r="A3" s="1351" t="s">
        <v>72</v>
      </c>
      <c r="B3" s="1352" t="s">
        <v>345</v>
      </c>
      <c r="C3" s="1353">
        <f>C4</f>
        <v>14</v>
      </c>
      <c r="D3" s="1354">
        <f>D4</f>
        <v>450000</v>
      </c>
    </row>
    <row r="4" spans="1:4" ht="12.75">
      <c r="A4" s="1355"/>
      <c r="B4" s="1356" t="s">
        <v>189</v>
      </c>
      <c r="C4" s="1357">
        <v>14</v>
      </c>
      <c r="D4" s="1358">
        <v>450000</v>
      </c>
    </row>
    <row r="5" spans="1:4" ht="14.25" customHeight="1">
      <c r="A5" s="1351" t="s">
        <v>77</v>
      </c>
      <c r="B5" s="1352" t="s">
        <v>190</v>
      </c>
      <c r="C5" s="1359">
        <v>0</v>
      </c>
      <c r="D5" s="1360">
        <v>0</v>
      </c>
    </row>
    <row r="6" spans="1:4" ht="24">
      <c r="A6" s="1351" t="s">
        <v>79</v>
      </c>
      <c r="B6" s="1361" t="s">
        <v>191</v>
      </c>
      <c r="C6" s="1362">
        <f>C12+C17+C18</f>
        <v>4393</v>
      </c>
      <c r="D6" s="1363">
        <f>D12+D17+D18</f>
        <v>20307851</v>
      </c>
    </row>
    <row r="7" spans="1:4" ht="12.75" customHeight="1">
      <c r="A7" s="1364" t="s">
        <v>316</v>
      </c>
      <c r="B7" s="1365" t="s">
        <v>214</v>
      </c>
      <c r="C7" s="1366"/>
      <c r="D7" s="1661"/>
    </row>
    <row r="8" spans="1:4" ht="12.75" customHeight="1">
      <c r="A8" s="1367"/>
      <c r="B8" s="1368" t="s">
        <v>365</v>
      </c>
      <c r="C8" s="1369">
        <v>0</v>
      </c>
      <c r="D8" s="1370">
        <v>0</v>
      </c>
    </row>
    <row r="9" spans="1:4" ht="12.75" customHeight="1">
      <c r="A9" s="1367"/>
      <c r="B9" s="1368" t="s">
        <v>192</v>
      </c>
      <c r="C9" s="1369">
        <v>0</v>
      </c>
      <c r="D9" s="1370">
        <v>0</v>
      </c>
    </row>
    <row r="10" spans="1:4" ht="12.75">
      <c r="A10" s="1367"/>
      <c r="B10" s="1368" t="s">
        <v>193</v>
      </c>
      <c r="C10" s="1369">
        <v>115</v>
      </c>
      <c r="D10" s="1370">
        <v>1205565</v>
      </c>
    </row>
    <row r="11" spans="1:4" ht="12.75">
      <c r="A11" s="1371"/>
      <c r="B11" s="1372" t="s">
        <v>194</v>
      </c>
      <c r="C11" s="1373">
        <v>7</v>
      </c>
      <c r="D11" s="1374">
        <v>205760</v>
      </c>
    </row>
    <row r="12" spans="1:4" ht="15" customHeight="1">
      <c r="A12" s="1375"/>
      <c r="B12" s="1376" t="s">
        <v>195</v>
      </c>
      <c r="C12" s="1377">
        <f>SUM(C8:C11)</f>
        <v>122</v>
      </c>
      <c r="D12" s="1378">
        <f>SUM(D8:D11)</f>
        <v>1411325</v>
      </c>
    </row>
    <row r="13" spans="1:4" ht="13.5">
      <c r="A13" s="1371" t="s">
        <v>318</v>
      </c>
      <c r="B13" s="1365" t="s">
        <v>215</v>
      </c>
      <c r="C13" s="1366"/>
      <c r="D13" s="1661"/>
    </row>
    <row r="14" spans="1:4" ht="12.75">
      <c r="A14" s="1371"/>
      <c r="B14" s="1379" t="s">
        <v>770</v>
      </c>
      <c r="C14" s="1369">
        <v>2154</v>
      </c>
      <c r="D14" s="1370">
        <v>6139875</v>
      </c>
    </row>
    <row r="15" spans="1:4" ht="12.75">
      <c r="A15" s="1371"/>
      <c r="B15" s="1379" t="s">
        <v>769</v>
      </c>
      <c r="C15" s="1369">
        <v>308</v>
      </c>
      <c r="D15" s="1370">
        <v>3039825</v>
      </c>
    </row>
    <row r="16" spans="1:4" ht="12.75">
      <c r="A16" s="1371"/>
      <c r="B16" s="1380" t="s">
        <v>768</v>
      </c>
      <c r="C16" s="1373">
        <v>1809</v>
      </c>
      <c r="D16" s="1374">
        <v>9716826</v>
      </c>
    </row>
    <row r="17" spans="1:4" ht="12.75">
      <c r="A17" s="1371"/>
      <c r="B17" s="1376" t="s">
        <v>196</v>
      </c>
      <c r="C17" s="1377">
        <f>C14+C15+C16</f>
        <v>4271</v>
      </c>
      <c r="D17" s="1378">
        <f>D14+D15+D16</f>
        <v>18896526</v>
      </c>
    </row>
    <row r="18" spans="1:4" ht="13.5">
      <c r="A18" s="1381" t="s">
        <v>319</v>
      </c>
      <c r="B18" s="1382" t="s">
        <v>216</v>
      </c>
      <c r="C18" s="1383">
        <v>0</v>
      </c>
      <c r="D18" s="1384">
        <v>0</v>
      </c>
    </row>
    <row r="19" spans="1:4" ht="24">
      <c r="A19" s="1385" t="s">
        <v>997</v>
      </c>
      <c r="B19" s="1386" t="s">
        <v>197</v>
      </c>
      <c r="C19" s="1387" t="s">
        <v>198</v>
      </c>
      <c r="D19" s="1388" t="s">
        <v>188</v>
      </c>
    </row>
    <row r="20" spans="1:4" ht="12" customHeight="1">
      <c r="A20" s="1371" t="s">
        <v>316</v>
      </c>
      <c r="B20" s="1389" t="s">
        <v>217</v>
      </c>
      <c r="C20" s="1655" t="s">
        <v>446</v>
      </c>
      <c r="D20" s="1656" t="s">
        <v>446</v>
      </c>
    </row>
    <row r="21" spans="1:4" ht="12.75">
      <c r="A21" s="1371"/>
      <c r="B21" s="1390" t="s">
        <v>199</v>
      </c>
      <c r="C21" s="1657">
        <v>627</v>
      </c>
      <c r="D21" s="1658">
        <v>4514400</v>
      </c>
    </row>
    <row r="22" spans="1:4" ht="12.75">
      <c r="A22" s="1371"/>
      <c r="B22" s="1390" t="s">
        <v>200</v>
      </c>
      <c r="C22" s="1657">
        <v>150</v>
      </c>
      <c r="D22" s="1658">
        <v>540000</v>
      </c>
    </row>
    <row r="23" spans="1:4" ht="12.75">
      <c r="A23" s="1371"/>
      <c r="B23" s="1390" t="s">
        <v>201</v>
      </c>
      <c r="C23" s="1657">
        <v>237</v>
      </c>
      <c r="D23" s="1658">
        <v>1279800</v>
      </c>
    </row>
    <row r="24" spans="1:4" ht="12.75">
      <c r="A24" s="1371"/>
      <c r="B24" s="1390" t="s">
        <v>202</v>
      </c>
      <c r="C24" s="1657">
        <v>144</v>
      </c>
      <c r="D24" s="1658">
        <v>518400</v>
      </c>
    </row>
    <row r="25" spans="1:5" ht="12.75">
      <c r="A25" s="1371"/>
      <c r="B25" s="1390" t="s">
        <v>203</v>
      </c>
      <c r="C25" s="1657">
        <v>42</v>
      </c>
      <c r="D25" s="1658">
        <v>151200</v>
      </c>
      <c r="E25" s="1391" t="s">
        <v>446</v>
      </c>
    </row>
    <row r="26" spans="1:4" ht="13.5">
      <c r="A26" s="1371" t="s">
        <v>318</v>
      </c>
      <c r="B26" s="1389" t="s">
        <v>218</v>
      </c>
      <c r="C26" s="1659">
        <v>1200</v>
      </c>
      <c r="D26" s="1660">
        <v>4800000</v>
      </c>
    </row>
    <row r="27" spans="1:4" ht="13.5">
      <c r="A27" s="1392" t="s">
        <v>319</v>
      </c>
      <c r="B27" s="1393" t="s">
        <v>219</v>
      </c>
      <c r="C27" s="1662">
        <v>1302</v>
      </c>
      <c r="D27" s="1663">
        <v>7139040</v>
      </c>
    </row>
    <row r="28" spans="1:4" ht="12.75">
      <c r="A28" s="1394"/>
      <c r="B28" s="1376" t="s">
        <v>204</v>
      </c>
      <c r="C28" s="1664">
        <f>SUM(C21:C27)</f>
        <v>3702</v>
      </c>
      <c r="D28" s="1378">
        <f>SUM(D21:D27)</f>
        <v>18942840</v>
      </c>
    </row>
    <row r="29" spans="1:4" ht="15.75" customHeight="1">
      <c r="A29" s="1351" t="s">
        <v>998</v>
      </c>
      <c r="B29" s="1361" t="s">
        <v>205</v>
      </c>
      <c r="C29" s="1395" t="s">
        <v>206</v>
      </c>
      <c r="D29" s="1396" t="s">
        <v>188</v>
      </c>
    </row>
    <row r="30" spans="1:4" ht="15.75" customHeight="1">
      <c r="A30" s="1397" t="s">
        <v>316</v>
      </c>
      <c r="B30" s="1398" t="s">
        <v>220</v>
      </c>
      <c r="C30" s="1399"/>
      <c r="D30" s="1400"/>
    </row>
    <row r="31" spans="1:4" ht="15.75" customHeight="1">
      <c r="A31" s="1401" t="s">
        <v>446</v>
      </c>
      <c r="B31" s="1402" t="s">
        <v>207</v>
      </c>
      <c r="C31" s="1403">
        <v>5735</v>
      </c>
      <c r="D31" s="1404">
        <v>1433750</v>
      </c>
    </row>
    <row r="32" spans="1:4" ht="15.75" customHeight="1">
      <c r="A32" s="1405" t="s">
        <v>446</v>
      </c>
      <c r="B32" s="1406" t="s">
        <v>208</v>
      </c>
      <c r="C32" s="1407">
        <v>11969</v>
      </c>
      <c r="D32" s="1408">
        <v>5984500</v>
      </c>
    </row>
    <row r="33" spans="1:4" ht="13.5" customHeight="1">
      <c r="A33" s="1392" t="s">
        <v>318</v>
      </c>
      <c r="B33" s="1409" t="s">
        <v>221</v>
      </c>
      <c r="C33" s="1410">
        <v>69</v>
      </c>
      <c r="D33" s="1411">
        <v>1126035</v>
      </c>
    </row>
    <row r="34" spans="1:4" ht="14.25" customHeight="1">
      <c r="A34" s="1405" t="s">
        <v>319</v>
      </c>
      <c r="B34" s="1409" t="s">
        <v>209</v>
      </c>
      <c r="C34" s="1410"/>
      <c r="D34" s="1411"/>
    </row>
    <row r="35" spans="1:4" ht="12" customHeight="1">
      <c r="A35" s="1405"/>
      <c r="B35" s="1406" t="s">
        <v>210</v>
      </c>
      <c r="C35" s="1412">
        <v>701</v>
      </c>
      <c r="D35" s="1413">
        <f>C35*250</f>
        <v>175250</v>
      </c>
    </row>
    <row r="36" spans="1:4" ht="12" customHeight="1">
      <c r="A36" s="1405"/>
      <c r="B36" s="1406" t="s">
        <v>211</v>
      </c>
      <c r="C36" s="1412">
        <v>1701</v>
      </c>
      <c r="D36" s="1413">
        <f>C36*500</f>
        <v>850500</v>
      </c>
    </row>
    <row r="37" spans="1:4" ht="12.75" customHeight="1">
      <c r="A37" s="1414"/>
      <c r="B37" s="1415" t="s">
        <v>204</v>
      </c>
      <c r="C37" s="1416">
        <f>C31+C32+C33+C35+C36</f>
        <v>20175</v>
      </c>
      <c r="D37" s="1417">
        <f>D31+D32+D33+D35+D36</f>
        <v>9570035</v>
      </c>
    </row>
    <row r="38" spans="1:4" ht="13.5" thickBot="1">
      <c r="A38" s="1731" t="s">
        <v>212</v>
      </c>
      <c r="B38" s="1732"/>
      <c r="C38" s="1665">
        <f>C3+C5+C6+C28+C37</f>
        <v>28284</v>
      </c>
      <c r="D38" s="1666">
        <f>D3+D5+D6+D28+D37</f>
        <v>49270726</v>
      </c>
    </row>
    <row r="39" spans="1:2" ht="13.5" customHeight="1">
      <c r="A39" s="1418" t="s">
        <v>213</v>
      </c>
      <c r="B39" s="1419"/>
    </row>
    <row r="40" spans="1:4" ht="24" customHeight="1">
      <c r="A40" s="1725" t="s">
        <v>343</v>
      </c>
      <c r="B40" s="1726"/>
      <c r="C40" s="1726"/>
      <c r="D40" s="1726"/>
    </row>
    <row r="41" spans="1:5" ht="13.5" customHeight="1">
      <c r="A41" s="1719" t="s">
        <v>222</v>
      </c>
      <c r="B41" s="1720"/>
      <c r="C41" s="1720"/>
      <c r="D41" s="1720"/>
      <c r="E41" s="1421"/>
    </row>
    <row r="42" spans="1:5" ht="22.5" customHeight="1">
      <c r="A42" s="1719" t="s">
        <v>223</v>
      </c>
      <c r="B42" s="1720"/>
      <c r="C42" s="1720"/>
      <c r="D42" s="1720"/>
      <c r="E42" s="1421"/>
    </row>
    <row r="43" spans="1:5" ht="21.75" customHeight="1">
      <c r="A43" s="1719" t="s">
        <v>224</v>
      </c>
      <c r="B43" s="1720"/>
      <c r="C43" s="1720"/>
      <c r="D43" s="1720"/>
      <c r="E43" s="1422"/>
    </row>
    <row r="44" spans="1:5" ht="23.25" customHeight="1">
      <c r="A44" s="1719" t="s">
        <v>225</v>
      </c>
      <c r="B44" s="1720"/>
      <c r="C44" s="1720"/>
      <c r="D44" s="1720"/>
      <c r="E44" s="1421"/>
    </row>
    <row r="45" spans="1:5" ht="12" customHeight="1">
      <c r="A45" s="1719" t="s">
        <v>226</v>
      </c>
      <c r="B45" s="1723"/>
      <c r="C45" s="1723"/>
      <c r="D45" s="1723"/>
      <c r="E45" s="1421"/>
    </row>
    <row r="46" spans="1:4" ht="12" customHeight="1">
      <c r="A46" s="1719" t="s">
        <v>227</v>
      </c>
      <c r="B46" s="1720"/>
      <c r="C46" s="1720"/>
      <c r="D46" s="1720"/>
    </row>
    <row r="47" spans="1:4" ht="12.75" customHeight="1">
      <c r="A47" s="1719" t="s">
        <v>344</v>
      </c>
      <c r="B47" s="1724"/>
      <c r="C47" s="1724"/>
      <c r="D47" s="1724"/>
    </row>
  </sheetData>
  <sheetProtection/>
  <mergeCells count="11">
    <mergeCell ref="A38:B38"/>
    <mergeCell ref="A42:D42"/>
    <mergeCell ref="C1:D1"/>
    <mergeCell ref="A45:D45"/>
    <mergeCell ref="A47:D47"/>
    <mergeCell ref="A40:D40"/>
    <mergeCell ref="A46:D46"/>
    <mergeCell ref="A1:B2"/>
    <mergeCell ref="A41:D41"/>
    <mergeCell ref="A43:D43"/>
    <mergeCell ref="A44:D44"/>
  </mergeCells>
  <printOptions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  <headerFooter alignWithMargins="0">
    <oddHeader>&amp;C1. kimutatás: Az önkormányzat közvetett támogatásai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5.75390625" style="132" bestFit="1" customWidth="1"/>
    <col min="2" max="2" width="56.75390625" style="132" customWidth="1"/>
    <col min="3" max="3" width="16.00390625" style="132" bestFit="1" customWidth="1"/>
    <col min="4" max="4" width="16.00390625" style="132" customWidth="1"/>
    <col min="5" max="5" width="38.25390625" style="754" bestFit="1" customWidth="1"/>
    <col min="6" max="6" width="9.125" style="132" customWidth="1"/>
    <col min="7" max="16384" width="9.125" style="100" customWidth="1"/>
  </cols>
  <sheetData>
    <row r="1" spans="1:5" ht="12.75">
      <c r="A1" s="722"/>
      <c r="B1" s="442"/>
      <c r="C1" s="723"/>
      <c r="D1" s="723"/>
      <c r="E1" s="478"/>
    </row>
    <row r="2" spans="1:9" ht="12.75">
      <c r="A2" s="722"/>
      <c r="B2" s="442"/>
      <c r="C2" s="723"/>
      <c r="D2" s="723"/>
      <c r="E2" s="1993" t="s">
        <v>446</v>
      </c>
      <c r="F2" s="1993"/>
      <c r="G2" s="103"/>
      <c r="H2" s="103"/>
      <c r="I2" s="103"/>
    </row>
    <row r="3" spans="1:5" ht="12.75">
      <c r="A3" s="722"/>
      <c r="B3" s="722" t="s">
        <v>446</v>
      </c>
      <c r="C3" s="722"/>
      <c r="D3" s="722"/>
      <c r="E3" s="722"/>
    </row>
    <row r="4" spans="1:5" ht="12.75">
      <c r="A4" s="722"/>
      <c r="B4" s="722"/>
      <c r="C4" s="722"/>
      <c r="D4" s="722"/>
      <c r="E4" s="722"/>
    </row>
    <row r="5" spans="1:5" ht="12.75">
      <c r="A5" s="722"/>
      <c r="B5" s="442"/>
      <c r="C5" s="723"/>
      <c r="D5" s="723"/>
      <c r="E5" s="725"/>
    </row>
    <row r="6" spans="1:5" ht="12.75">
      <c r="A6" s="722"/>
      <c r="B6" s="442"/>
      <c r="C6" s="723"/>
      <c r="D6" s="723"/>
      <c r="E6" s="725"/>
    </row>
    <row r="7" spans="1:5" ht="12.75">
      <c r="A7" s="722"/>
      <c r="B7" s="442"/>
      <c r="C7" s="723"/>
      <c r="D7" s="723"/>
      <c r="E7" s="725"/>
    </row>
    <row r="8" spans="1:5" ht="12.75">
      <c r="A8" s="722"/>
      <c r="B8" s="442"/>
      <c r="C8" s="723"/>
      <c r="D8" s="723"/>
      <c r="E8" s="725"/>
    </row>
    <row r="9" spans="1:5" ht="12.75">
      <c r="A9" s="722"/>
      <c r="B9" s="442"/>
      <c r="C9" s="723"/>
      <c r="D9" s="723"/>
      <c r="E9" s="724"/>
    </row>
    <row r="10" spans="1:5" ht="13.5" thickBot="1">
      <c r="A10" s="722"/>
      <c r="B10" s="442"/>
      <c r="C10" s="723"/>
      <c r="D10" s="723"/>
      <c r="E10" s="724" t="s">
        <v>836</v>
      </c>
    </row>
    <row r="11" spans="1:5" ht="39" thickBot="1">
      <c r="A11" s="726" t="s">
        <v>447</v>
      </c>
      <c r="B11" s="727" t="s">
        <v>837</v>
      </c>
      <c r="C11" s="728" t="s">
        <v>863</v>
      </c>
      <c r="D11" s="729" t="s">
        <v>862</v>
      </c>
      <c r="E11" s="730" t="s">
        <v>838</v>
      </c>
    </row>
    <row r="12" spans="1:5" ht="27.75" customHeight="1">
      <c r="A12" s="731" t="s">
        <v>316</v>
      </c>
      <c r="B12" s="732" t="s">
        <v>839</v>
      </c>
      <c r="C12" s="733">
        <v>400</v>
      </c>
      <c r="D12" s="734">
        <v>400</v>
      </c>
      <c r="E12" s="735" t="s">
        <v>840</v>
      </c>
    </row>
    <row r="13" spans="1:5" ht="42.75" customHeight="1">
      <c r="A13" s="736" t="s">
        <v>318</v>
      </c>
      <c r="B13" s="737" t="s">
        <v>841</v>
      </c>
      <c r="C13" s="733">
        <v>1000</v>
      </c>
      <c r="D13" s="734">
        <v>620</v>
      </c>
      <c r="E13" s="738" t="s">
        <v>840</v>
      </c>
    </row>
    <row r="14" spans="1:5" ht="28.5" customHeight="1">
      <c r="A14" s="736" t="s">
        <v>319</v>
      </c>
      <c r="B14" s="737" t="s">
        <v>842</v>
      </c>
      <c r="C14" s="733">
        <v>1500</v>
      </c>
      <c r="D14" s="734">
        <v>208</v>
      </c>
      <c r="E14" s="738" t="s">
        <v>840</v>
      </c>
    </row>
    <row r="15" spans="1:5" ht="46.5" customHeight="1">
      <c r="A15" s="739" t="s">
        <v>321</v>
      </c>
      <c r="B15" s="740" t="s">
        <v>843</v>
      </c>
      <c r="C15" s="741">
        <v>6190</v>
      </c>
      <c r="D15" s="742">
        <v>6190</v>
      </c>
      <c r="E15" s="743" t="s">
        <v>844</v>
      </c>
    </row>
    <row r="16" spans="1:5" ht="46.5" customHeight="1" thickBot="1">
      <c r="A16" s="744" t="s">
        <v>322</v>
      </c>
      <c r="B16" s="745" t="s">
        <v>858</v>
      </c>
      <c r="C16" s="746">
        <v>0</v>
      </c>
      <c r="D16" s="747">
        <v>0</v>
      </c>
      <c r="E16" s="748" t="s">
        <v>857</v>
      </c>
    </row>
    <row r="17" spans="1:5" ht="13.5" thickBot="1">
      <c r="A17" s="749"/>
      <c r="B17" s="750" t="s">
        <v>815</v>
      </c>
      <c r="C17" s="751">
        <f>SUM(C12:C16)</f>
        <v>9090</v>
      </c>
      <c r="D17" s="752">
        <f>SUM(D12:D16)</f>
        <v>7418</v>
      </c>
      <c r="E17" s="753"/>
    </row>
  </sheetData>
  <sheetProtection/>
  <mergeCells count="1">
    <mergeCell ref="E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B1">
      <selection activeCell="E23" sqref="E23"/>
    </sheetView>
  </sheetViews>
  <sheetFormatPr defaultColWidth="9.00390625" defaultRowHeight="12.75"/>
  <cols>
    <col min="1" max="1" width="5.25390625" style="30" customWidth="1"/>
    <col min="2" max="2" width="65.875" style="31" customWidth="1"/>
    <col min="3" max="3" width="13.625" style="30" customWidth="1"/>
    <col min="4" max="4" width="7.375" style="30" customWidth="1"/>
    <col min="5" max="5" width="13.125" style="30" customWidth="1"/>
    <col min="6" max="6" width="10.625" style="30" customWidth="1"/>
    <col min="7" max="7" width="7.875" style="30" customWidth="1"/>
    <col min="8" max="8" width="10.00390625" style="30" customWidth="1"/>
    <col min="9" max="9" width="9.25390625" style="30" customWidth="1"/>
    <col min="10" max="16384" width="9.125" style="28" customWidth="1"/>
  </cols>
  <sheetData>
    <row r="1" spans="6:9" ht="15">
      <c r="F1" s="1810"/>
      <c r="G1" s="1810"/>
      <c r="H1" s="1810"/>
      <c r="I1" s="1810"/>
    </row>
    <row r="2" ht="15">
      <c r="I2" s="28"/>
    </row>
    <row r="4" spans="5:9" ht="12.75" customHeight="1">
      <c r="E4" s="2020"/>
      <c r="F4" s="2020"/>
      <c r="G4" s="2020"/>
      <c r="H4" s="2020"/>
      <c r="I4" s="2020"/>
    </row>
    <row r="5" spans="1:9" ht="14.25" customHeight="1">
      <c r="A5" s="2075" t="s">
        <v>681</v>
      </c>
      <c r="B5" s="2076"/>
      <c r="C5" s="2076"/>
      <c r="D5" s="2076"/>
      <c r="I5" s="64" t="s">
        <v>356</v>
      </c>
    </row>
    <row r="6" spans="1:9" ht="11.25" customHeight="1">
      <c r="A6" s="2018" t="s">
        <v>447</v>
      </c>
      <c r="B6" s="2068" t="s">
        <v>288</v>
      </c>
      <c r="C6" s="2069"/>
      <c r="D6" s="2072" t="s">
        <v>289</v>
      </c>
      <c r="E6" s="2073"/>
      <c r="F6" s="2073"/>
      <c r="G6" s="2073"/>
      <c r="H6" s="2074"/>
      <c r="I6" s="2018" t="s">
        <v>290</v>
      </c>
    </row>
    <row r="7" spans="1:9" ht="45.75" customHeight="1" thickBot="1">
      <c r="A7" s="2021"/>
      <c r="B7" s="2070"/>
      <c r="C7" s="2071"/>
      <c r="D7" s="33" t="s">
        <v>291</v>
      </c>
      <c r="E7" s="32" t="s">
        <v>292</v>
      </c>
      <c r="F7" s="32" t="s">
        <v>682</v>
      </c>
      <c r="G7" s="32" t="s">
        <v>293</v>
      </c>
      <c r="H7" s="32" t="s">
        <v>294</v>
      </c>
      <c r="I7" s="2021"/>
    </row>
    <row r="8" spans="1:9" s="78" customFormat="1" ht="13.5" customHeight="1">
      <c r="A8" s="1999">
        <v>1</v>
      </c>
      <c r="B8" s="2032" t="s">
        <v>676</v>
      </c>
      <c r="C8" s="34" t="s">
        <v>295</v>
      </c>
      <c r="D8" s="35">
        <f>I8-H8-G8</f>
        <v>102306</v>
      </c>
      <c r="E8" s="35">
        <v>0</v>
      </c>
      <c r="F8" s="35"/>
      <c r="G8" s="35">
        <v>22924</v>
      </c>
      <c r="H8" s="35">
        <f>441464+26978-26978</f>
        <v>441464</v>
      </c>
      <c r="I8" s="35">
        <f>490516+42938+33240</f>
        <v>566694</v>
      </c>
    </row>
    <row r="9" spans="1:9" s="78" customFormat="1" ht="13.5" customHeight="1">
      <c r="A9" s="2031"/>
      <c r="B9" s="2033"/>
      <c r="C9" s="36" t="s">
        <v>298</v>
      </c>
      <c r="D9" s="37">
        <v>-72625</v>
      </c>
      <c r="E9" s="37"/>
      <c r="F9" s="37"/>
      <c r="G9" s="37"/>
      <c r="H9" s="37">
        <v>75461</v>
      </c>
      <c r="I9" s="37">
        <v>2836</v>
      </c>
    </row>
    <row r="10" spans="1:10" s="78" customFormat="1" ht="13.5" customHeight="1">
      <c r="A10" s="2031"/>
      <c r="B10" s="2033"/>
      <c r="C10" s="36" t="s">
        <v>683</v>
      </c>
      <c r="D10" s="37">
        <v>5651</v>
      </c>
      <c r="E10" s="37">
        <f>I10-H10-D10</f>
        <v>0</v>
      </c>
      <c r="F10" s="37"/>
      <c r="G10" s="37">
        <v>0</v>
      </c>
      <c r="H10" s="37">
        <v>56510</v>
      </c>
      <c r="I10" s="37">
        <f>56510+5651</f>
        <v>62161</v>
      </c>
      <c r="J10" s="86"/>
    </row>
    <row r="11" spans="1:10" s="78" customFormat="1" ht="14.25" customHeight="1">
      <c r="A11" s="2031"/>
      <c r="B11" s="2033"/>
      <c r="C11" s="40" t="s">
        <v>934</v>
      </c>
      <c r="D11" s="41">
        <f>I11-H11-G11</f>
        <v>131232</v>
      </c>
      <c r="E11" s="41"/>
      <c r="F11" s="41"/>
      <c r="G11" s="41">
        <f>'3.mell'!E440</f>
        <v>22924</v>
      </c>
      <c r="H11" s="41">
        <f>'3.mell'!E301</f>
        <v>309494</v>
      </c>
      <c r="I11" s="41">
        <f>'6.mell'!F68+'6.mell'!F40</f>
        <v>463650</v>
      </c>
      <c r="J11" s="86"/>
    </row>
    <row r="12" spans="1:10" s="78" customFormat="1" ht="13.5" customHeight="1" thickBot="1">
      <c r="A12" s="2031"/>
      <c r="B12" s="2033"/>
      <c r="C12" s="40" t="s">
        <v>685</v>
      </c>
      <c r="D12" s="41">
        <v>69344</v>
      </c>
      <c r="E12" s="41"/>
      <c r="F12" s="41"/>
      <c r="G12" s="41"/>
      <c r="H12" s="41">
        <v>0</v>
      </c>
      <c r="I12" s="41">
        <v>69344</v>
      </c>
      <c r="J12" s="86"/>
    </row>
    <row r="13" spans="1:9" s="78" customFormat="1" ht="13.5" customHeight="1">
      <c r="A13" s="1999">
        <v>2</v>
      </c>
      <c r="B13" s="2051" t="s">
        <v>680</v>
      </c>
      <c r="C13" s="65" t="s">
        <v>295</v>
      </c>
      <c r="D13" s="66">
        <v>49923</v>
      </c>
      <c r="E13" s="66">
        <v>0</v>
      </c>
      <c r="F13" s="66">
        <f>68587</f>
        <v>68587</v>
      </c>
      <c r="G13" s="66">
        <v>0</v>
      </c>
      <c r="H13" s="66">
        <v>349747</v>
      </c>
      <c r="I13" s="67">
        <f>F13+H13+D13</f>
        <v>468257</v>
      </c>
    </row>
    <row r="14" spans="1:9" s="78" customFormat="1" ht="15.75" customHeight="1">
      <c r="A14" s="2077"/>
      <c r="B14" s="2052"/>
      <c r="C14" s="36" t="s">
        <v>934</v>
      </c>
      <c r="D14" s="37">
        <v>707</v>
      </c>
      <c r="E14" s="37"/>
      <c r="F14" s="37"/>
      <c r="G14" s="37"/>
      <c r="H14" s="37"/>
      <c r="I14" s="37">
        <f>'6.mell'!F39</f>
        <v>707</v>
      </c>
    </row>
    <row r="15" spans="1:9" s="78" customFormat="1" ht="13.5" customHeight="1">
      <c r="A15" s="2077"/>
      <c r="B15" s="2052"/>
      <c r="C15" s="36" t="s">
        <v>685</v>
      </c>
      <c r="D15" s="37">
        <v>21554</v>
      </c>
      <c r="E15" s="37">
        <v>0</v>
      </c>
      <c r="F15" s="37">
        <v>29492</v>
      </c>
      <c r="G15" s="37">
        <v>0</v>
      </c>
      <c r="H15" s="37">
        <v>150000</v>
      </c>
      <c r="I15" s="37">
        <v>201046</v>
      </c>
    </row>
    <row r="16" spans="1:9" s="78" customFormat="1" ht="13.5" customHeight="1" thickBot="1">
      <c r="A16" s="2077"/>
      <c r="B16" s="2053"/>
      <c r="C16" s="68" t="s">
        <v>744</v>
      </c>
      <c r="D16" s="69">
        <v>27662</v>
      </c>
      <c r="E16" s="69">
        <v>0</v>
      </c>
      <c r="F16" s="69">
        <v>39095</v>
      </c>
      <c r="G16" s="69"/>
      <c r="H16" s="69">
        <f>H13-H15</f>
        <v>199747</v>
      </c>
      <c r="I16" s="69">
        <v>266504</v>
      </c>
    </row>
    <row r="17" spans="1:9" s="78" customFormat="1" ht="11.25" customHeight="1">
      <c r="A17" s="1999">
        <v>3</v>
      </c>
      <c r="B17" s="2061" t="s">
        <v>686</v>
      </c>
      <c r="C17" s="34" t="s">
        <v>295</v>
      </c>
      <c r="D17" s="35">
        <f>I17-H17</f>
        <v>24071</v>
      </c>
      <c r="E17" s="35">
        <v>0</v>
      </c>
      <c r="F17" s="35"/>
      <c r="G17" s="35">
        <v>0</v>
      </c>
      <c r="H17" s="35">
        <v>49500</v>
      </c>
      <c r="I17" s="35">
        <f>55000+7485+11086</f>
        <v>73571</v>
      </c>
    </row>
    <row r="18" spans="1:9" s="78" customFormat="1" ht="11.25" customHeight="1">
      <c r="A18" s="2031"/>
      <c r="B18" s="2033"/>
      <c r="C18" s="44" t="s">
        <v>298</v>
      </c>
      <c r="D18" s="45">
        <v>39</v>
      </c>
      <c r="E18" s="45"/>
      <c r="F18" s="45"/>
      <c r="G18" s="45"/>
      <c r="H18" s="45"/>
      <c r="I18" s="45">
        <v>39</v>
      </c>
    </row>
    <row r="19" spans="1:9" s="78" customFormat="1" ht="11.25" customHeight="1">
      <c r="A19" s="2031"/>
      <c r="B19" s="2033"/>
      <c r="C19" s="36" t="s">
        <v>683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</row>
    <row r="20" spans="1:9" s="78" customFormat="1" ht="13.5" customHeight="1">
      <c r="A20" s="2031"/>
      <c r="B20" s="2033"/>
      <c r="C20" s="40" t="s">
        <v>934</v>
      </c>
      <c r="D20" s="41">
        <f>I20-H20</f>
        <v>20449</v>
      </c>
      <c r="E20" s="41">
        <v>0</v>
      </c>
      <c r="F20" s="41"/>
      <c r="G20" s="41"/>
      <c r="H20" s="41">
        <f>'3.mell'!E293</f>
        <v>49879</v>
      </c>
      <c r="I20" s="41">
        <f>'6.mell'!F41+'6.mell'!F67</f>
        <v>70328</v>
      </c>
    </row>
    <row r="21" spans="1:9" s="78" customFormat="1" ht="11.25" customHeight="1" thickBot="1">
      <c r="A21" s="2000"/>
      <c r="B21" s="2062"/>
      <c r="C21" s="38" t="s">
        <v>685</v>
      </c>
      <c r="D21" s="39">
        <v>13</v>
      </c>
      <c r="E21" s="39">
        <f>E17-E18-E19</f>
        <v>0</v>
      </c>
      <c r="F21" s="39">
        <f>F17-F18-F19</f>
        <v>0</v>
      </c>
      <c r="G21" s="39">
        <f>G17-G18-G19</f>
        <v>0</v>
      </c>
      <c r="H21" s="39">
        <v>0</v>
      </c>
      <c r="I21" s="39">
        <v>13</v>
      </c>
    </row>
    <row r="22" spans="1:10" s="78" customFormat="1" ht="12" customHeight="1">
      <c r="A22" s="1999">
        <v>4</v>
      </c>
      <c r="B22" s="2032" t="s">
        <v>677</v>
      </c>
      <c r="C22" s="34" t="s">
        <v>295</v>
      </c>
      <c r="D22" s="35">
        <f>24885+18429</f>
        <v>43314</v>
      </c>
      <c r="E22" s="35">
        <v>0</v>
      </c>
      <c r="F22" s="35"/>
      <c r="G22" s="35">
        <v>12700</v>
      </c>
      <c r="H22" s="35">
        <v>211018</v>
      </c>
      <c r="I22" s="35">
        <f>248603+18429</f>
        <v>267032</v>
      </c>
      <c r="J22" s="86"/>
    </row>
    <row r="23" spans="1:10" s="78" customFormat="1" ht="12" customHeight="1">
      <c r="A23" s="2031"/>
      <c r="B23" s="2033"/>
      <c r="C23" s="44" t="s">
        <v>298</v>
      </c>
      <c r="D23" s="45">
        <v>630</v>
      </c>
      <c r="E23" s="45"/>
      <c r="F23" s="45"/>
      <c r="G23" s="45"/>
      <c r="H23" s="45"/>
      <c r="I23" s="45">
        <v>630</v>
      </c>
      <c r="J23" s="86"/>
    </row>
    <row r="24" spans="1:9" s="78" customFormat="1" ht="12" customHeight="1">
      <c r="A24" s="2031"/>
      <c r="B24" s="2033"/>
      <c r="C24" s="36" t="s">
        <v>683</v>
      </c>
      <c r="D24" s="37">
        <v>0</v>
      </c>
      <c r="E24" s="37">
        <v>0</v>
      </c>
      <c r="F24" s="37"/>
      <c r="G24" s="37">
        <v>0</v>
      </c>
      <c r="H24" s="37">
        <v>0</v>
      </c>
      <c r="I24" s="37">
        <v>0</v>
      </c>
    </row>
    <row r="25" spans="1:9" s="78" customFormat="1" ht="12.75" customHeight="1">
      <c r="A25" s="2031"/>
      <c r="B25" s="2033"/>
      <c r="C25" s="36" t="s">
        <v>934</v>
      </c>
      <c r="D25" s="37">
        <f>I25-H25</f>
        <v>25095</v>
      </c>
      <c r="E25" s="37"/>
      <c r="F25" s="37"/>
      <c r="G25" s="37"/>
      <c r="H25" s="37">
        <f>'3.mell'!E297</f>
        <v>166094</v>
      </c>
      <c r="I25" s="37">
        <f>'6.mell'!F66+'6.mell'!F47</f>
        <v>191189</v>
      </c>
    </row>
    <row r="26" spans="1:9" s="78" customFormat="1" ht="12" customHeight="1" thickBot="1">
      <c r="A26" s="2057"/>
      <c r="B26" s="2067"/>
      <c r="C26" s="79" t="s">
        <v>685</v>
      </c>
      <c r="D26" s="80">
        <f>D22-D23-D25+1</f>
        <v>17590</v>
      </c>
      <c r="E26" s="80"/>
      <c r="F26" s="80"/>
      <c r="G26" s="80">
        <v>12700</v>
      </c>
      <c r="H26" s="80">
        <v>44923</v>
      </c>
      <c r="I26" s="80">
        <f>I22-I23-I25</f>
        <v>75213</v>
      </c>
    </row>
    <row r="27" spans="1:9" s="70" customFormat="1" ht="12" customHeight="1">
      <c r="A27" s="1999">
        <v>5</v>
      </c>
      <c r="B27" s="2032" t="s">
        <v>693</v>
      </c>
      <c r="C27" s="42" t="s">
        <v>295</v>
      </c>
      <c r="D27" s="35">
        <v>114343</v>
      </c>
      <c r="E27" s="35">
        <v>0</v>
      </c>
      <c r="F27" s="35">
        <v>0</v>
      </c>
      <c r="G27" s="35">
        <v>96185</v>
      </c>
      <c r="H27" s="35">
        <v>568321</v>
      </c>
      <c r="I27" s="35">
        <f>H27+G27+D27</f>
        <v>778849</v>
      </c>
    </row>
    <row r="28" spans="1:9" s="70" customFormat="1" ht="11.25">
      <c r="A28" s="2031"/>
      <c r="B28" s="2033"/>
      <c r="C28" s="36" t="s">
        <v>296</v>
      </c>
      <c r="D28" s="43">
        <v>713</v>
      </c>
      <c r="E28" s="43">
        <v>0</v>
      </c>
      <c r="F28" s="43">
        <v>0</v>
      </c>
      <c r="G28" s="43">
        <v>0</v>
      </c>
      <c r="H28" s="43">
        <v>0</v>
      </c>
      <c r="I28" s="43">
        <v>713</v>
      </c>
    </row>
    <row r="29" spans="1:9" s="70" customFormat="1" ht="11.25">
      <c r="A29" s="2031"/>
      <c r="B29" s="2033"/>
      <c r="C29" s="36" t="s">
        <v>298</v>
      </c>
      <c r="D29" s="43">
        <v>14250</v>
      </c>
      <c r="E29" s="43">
        <v>0</v>
      </c>
      <c r="F29" s="43">
        <v>0</v>
      </c>
      <c r="G29" s="43">
        <v>0</v>
      </c>
      <c r="H29" s="43">
        <v>0</v>
      </c>
      <c r="I29" s="43">
        <v>14250</v>
      </c>
    </row>
    <row r="30" spans="1:9" s="70" customFormat="1" ht="11.25">
      <c r="A30" s="2031"/>
      <c r="B30" s="2033"/>
      <c r="C30" s="36" t="s">
        <v>683</v>
      </c>
      <c r="D30" s="43">
        <v>6212</v>
      </c>
      <c r="E30" s="43">
        <f>I30-D30</f>
        <v>0</v>
      </c>
      <c r="F30" s="43">
        <v>0</v>
      </c>
      <c r="G30" s="43">
        <v>0</v>
      </c>
      <c r="H30" s="43">
        <v>0</v>
      </c>
      <c r="I30" s="43">
        <v>6212</v>
      </c>
    </row>
    <row r="31" spans="1:9" s="70" customFormat="1" ht="14.25" customHeight="1">
      <c r="A31" s="2031"/>
      <c r="B31" s="2033"/>
      <c r="C31" s="40" t="s">
        <v>934</v>
      </c>
      <c r="D31" s="71">
        <f>I31-H31</f>
        <v>-20129</v>
      </c>
      <c r="E31" s="71"/>
      <c r="F31" s="71"/>
      <c r="G31" s="71"/>
      <c r="H31" s="71">
        <f>'3.mell'!E309</f>
        <v>81836</v>
      </c>
      <c r="I31" s="71">
        <f>'6.mell'!F69+'6.mell'!F38</f>
        <v>61707</v>
      </c>
    </row>
    <row r="32" spans="1:10" s="70" customFormat="1" ht="12" thickBot="1">
      <c r="A32" s="2000"/>
      <c r="B32" s="2050"/>
      <c r="C32" s="38" t="s">
        <v>685</v>
      </c>
      <c r="D32" s="72">
        <f>D27-D28-D29-D30-D31</f>
        <v>113297</v>
      </c>
      <c r="E32" s="72">
        <v>0</v>
      </c>
      <c r="F32" s="72">
        <v>0</v>
      </c>
      <c r="G32" s="72">
        <v>96185</v>
      </c>
      <c r="H32" s="72">
        <f>H27-H31</f>
        <v>486485</v>
      </c>
      <c r="I32" s="72">
        <f>H32+E32+D32+G32</f>
        <v>695967</v>
      </c>
      <c r="J32" s="85"/>
    </row>
    <row r="33" spans="1:9" s="78" customFormat="1" ht="12.75">
      <c r="A33" s="2023">
        <v>6</v>
      </c>
      <c r="B33" s="2047" t="s">
        <v>687</v>
      </c>
      <c r="C33" s="75" t="s">
        <v>295</v>
      </c>
      <c r="D33" s="74">
        <f>I33-H33</f>
        <v>29983</v>
      </c>
      <c r="E33" s="74"/>
      <c r="F33" s="74"/>
      <c r="G33" s="74"/>
      <c r="H33" s="74">
        <v>232909</v>
      </c>
      <c r="I33" s="74">
        <f>258788+4104</f>
        <v>262892</v>
      </c>
    </row>
    <row r="34" spans="1:9" s="78" customFormat="1" ht="12.75">
      <c r="A34" s="2048"/>
      <c r="B34" s="2048"/>
      <c r="C34" s="81" t="s">
        <v>683</v>
      </c>
      <c r="D34" s="71">
        <v>0</v>
      </c>
      <c r="E34" s="71"/>
      <c r="F34" s="71"/>
      <c r="G34" s="71"/>
      <c r="H34" s="71">
        <v>0</v>
      </c>
      <c r="I34" s="71">
        <v>0</v>
      </c>
    </row>
    <row r="35" spans="1:9" s="78" customFormat="1" ht="12.75">
      <c r="A35" s="2048"/>
      <c r="B35" s="2048"/>
      <c r="C35" s="822" t="s">
        <v>934</v>
      </c>
      <c r="D35" s="71">
        <f>I35-H35</f>
        <v>2033</v>
      </c>
      <c r="E35" s="71"/>
      <c r="F35" s="71"/>
      <c r="G35" s="71"/>
      <c r="H35" s="71">
        <v>6862</v>
      </c>
      <c r="I35" s="71">
        <f>'6.mell'!F43</f>
        <v>8895</v>
      </c>
    </row>
    <row r="36" spans="1:9" s="78" customFormat="1" ht="13.5" thickBot="1">
      <c r="A36" s="2049"/>
      <c r="B36" s="2049"/>
      <c r="C36" s="77" t="s">
        <v>684</v>
      </c>
      <c r="D36" s="72">
        <f>I36-H36</f>
        <v>27950</v>
      </c>
      <c r="E36" s="72"/>
      <c r="F36" s="72"/>
      <c r="G36" s="72"/>
      <c r="H36" s="72">
        <f>H33-H35</f>
        <v>226047</v>
      </c>
      <c r="I36" s="72">
        <f>I33-I35</f>
        <v>253997</v>
      </c>
    </row>
    <row r="37" spans="1:9" s="78" customFormat="1" ht="12.75">
      <c r="A37" s="2058">
        <v>7</v>
      </c>
      <c r="B37" s="2063" t="s">
        <v>688</v>
      </c>
      <c r="C37" s="75" t="s">
        <v>295</v>
      </c>
      <c r="D37" s="74">
        <v>1225</v>
      </c>
      <c r="E37" s="74"/>
      <c r="F37" s="74"/>
      <c r="G37" s="74"/>
      <c r="H37" s="74">
        <v>4900</v>
      </c>
      <c r="I37" s="74">
        <f>D37+H37</f>
        <v>6125</v>
      </c>
    </row>
    <row r="38" spans="1:9" s="78" customFormat="1" ht="12.75">
      <c r="A38" s="2059"/>
      <c r="B38" s="2064"/>
      <c r="C38" s="76" t="s">
        <v>683</v>
      </c>
      <c r="D38" s="43">
        <v>6</v>
      </c>
      <c r="E38" s="43"/>
      <c r="F38" s="43"/>
      <c r="G38" s="43"/>
      <c r="H38" s="43">
        <v>0</v>
      </c>
      <c r="I38" s="43">
        <v>6</v>
      </c>
    </row>
    <row r="39" spans="1:9" s="78" customFormat="1" ht="13.5" thickBot="1">
      <c r="A39" s="2060"/>
      <c r="B39" s="2065"/>
      <c r="C39" s="826" t="s">
        <v>934</v>
      </c>
      <c r="D39" s="72">
        <v>0</v>
      </c>
      <c r="E39" s="72"/>
      <c r="F39" s="72"/>
      <c r="G39" s="72"/>
      <c r="H39" s="72"/>
      <c r="I39" s="72">
        <f>'6.mell'!F44</f>
        <v>0</v>
      </c>
    </row>
    <row r="40" spans="1:9" s="78" customFormat="1" ht="12.75">
      <c r="A40" s="2058">
        <v>8</v>
      </c>
      <c r="B40" s="1995" t="s">
        <v>699</v>
      </c>
      <c r="C40" s="75" t="s">
        <v>295</v>
      </c>
      <c r="D40" s="74">
        <f>I40-H40</f>
        <v>47298</v>
      </c>
      <c r="E40" s="74"/>
      <c r="F40" s="74"/>
      <c r="G40" s="74"/>
      <c r="H40" s="74">
        <v>107488</v>
      </c>
      <c r="I40" s="74">
        <v>154786</v>
      </c>
    </row>
    <row r="41" spans="1:9" s="78" customFormat="1" ht="12.75">
      <c r="A41" s="2059"/>
      <c r="B41" s="2056"/>
      <c r="C41" s="76" t="s">
        <v>683</v>
      </c>
      <c r="D41" s="43">
        <v>1075</v>
      </c>
      <c r="E41" s="43"/>
      <c r="F41" s="43"/>
      <c r="G41" s="43"/>
      <c r="H41" s="43">
        <v>0</v>
      </c>
      <c r="I41" s="43">
        <v>1075</v>
      </c>
    </row>
    <row r="42" spans="1:9" s="78" customFormat="1" ht="12.75">
      <c r="A42" s="2066"/>
      <c r="B42" s="2056"/>
      <c r="C42" s="822" t="s">
        <v>934</v>
      </c>
      <c r="D42" s="71">
        <f>I42-H42</f>
        <v>1847</v>
      </c>
      <c r="E42" s="71"/>
      <c r="F42" s="71"/>
      <c r="G42" s="71"/>
      <c r="H42" s="71">
        <f>'3.mell'!E313</f>
        <v>2607</v>
      </c>
      <c r="I42" s="71">
        <f>'6.mell'!F42+'6.mell'!F72</f>
        <v>4454</v>
      </c>
    </row>
    <row r="43" spans="1:9" s="78" customFormat="1" ht="13.5" thickBot="1">
      <c r="A43" s="2060"/>
      <c r="B43" s="1996"/>
      <c r="C43" s="77" t="s">
        <v>685</v>
      </c>
      <c r="D43" s="72">
        <f>D40-D41-D42</f>
        <v>44376</v>
      </c>
      <c r="E43" s="72"/>
      <c r="F43" s="72"/>
      <c r="G43" s="72"/>
      <c r="H43" s="72">
        <f>H40-H42</f>
        <v>104881</v>
      </c>
      <c r="I43" s="72">
        <f>D43+H43</f>
        <v>149257</v>
      </c>
    </row>
    <row r="44" spans="1:9" s="78" customFormat="1" ht="12.75">
      <c r="A44" s="1999">
        <v>9</v>
      </c>
      <c r="B44" s="1995" t="s">
        <v>852</v>
      </c>
      <c r="C44" s="823" t="s">
        <v>684</v>
      </c>
      <c r="D44" s="824">
        <v>19700</v>
      </c>
      <c r="E44" s="824"/>
      <c r="F44" s="824"/>
      <c r="G44" s="824"/>
      <c r="H44" s="824"/>
      <c r="I44" s="824">
        <v>19700</v>
      </c>
    </row>
    <row r="45" spans="1:9" s="78" customFormat="1" ht="13.5" thickBot="1">
      <c r="A45" s="2000"/>
      <c r="B45" s="1996"/>
      <c r="C45" s="826" t="s">
        <v>934</v>
      </c>
      <c r="D45" s="72">
        <f>I45</f>
        <v>13001</v>
      </c>
      <c r="E45" s="72"/>
      <c r="F45" s="72"/>
      <c r="G45" s="72"/>
      <c r="H45" s="72"/>
      <c r="I45" s="72">
        <f>'6.mell'!F45+'6.mell'!F71</f>
        <v>13001</v>
      </c>
    </row>
    <row r="46" spans="1:9" s="78" customFormat="1" ht="22.5" customHeight="1">
      <c r="A46" s="1999">
        <v>10</v>
      </c>
      <c r="B46" s="1997" t="s">
        <v>854</v>
      </c>
      <c r="C46" s="825" t="s">
        <v>684</v>
      </c>
      <c r="D46" s="74">
        <v>2200</v>
      </c>
      <c r="E46" s="74"/>
      <c r="F46" s="74"/>
      <c r="G46" s="74"/>
      <c r="H46" s="74"/>
      <c r="I46" s="74">
        <v>2200</v>
      </c>
    </row>
    <row r="47" spans="1:9" s="78" customFormat="1" ht="13.5" thickBot="1">
      <c r="A47" s="2000"/>
      <c r="B47" s="1998"/>
      <c r="C47" s="826" t="s">
        <v>934</v>
      </c>
      <c r="D47" s="72">
        <v>0</v>
      </c>
      <c r="E47" s="72"/>
      <c r="F47" s="72"/>
      <c r="G47" s="72"/>
      <c r="H47" s="72"/>
      <c r="I47" s="827">
        <f>'6.mell'!F46</f>
        <v>0</v>
      </c>
    </row>
    <row r="48" spans="1:9" s="78" customFormat="1" ht="12.75">
      <c r="A48" s="2058">
        <v>11</v>
      </c>
      <c r="B48" s="1995" t="s">
        <v>902</v>
      </c>
      <c r="C48" s="825" t="s">
        <v>295</v>
      </c>
      <c r="D48" s="74"/>
      <c r="E48" s="74"/>
      <c r="F48" s="74"/>
      <c r="G48" s="74"/>
      <c r="H48" s="74">
        <v>28026</v>
      </c>
      <c r="I48" s="74">
        <v>28026</v>
      </c>
    </row>
    <row r="49" spans="1:9" s="78" customFormat="1" ht="12.75">
      <c r="A49" s="2059"/>
      <c r="B49" s="2056"/>
      <c r="C49" s="1629" t="s">
        <v>934</v>
      </c>
      <c r="D49" s="43"/>
      <c r="E49" s="43"/>
      <c r="F49" s="43"/>
      <c r="G49" s="43"/>
      <c r="H49" s="43">
        <f>'3.mell'!D284</f>
        <v>7007</v>
      </c>
      <c r="I49" s="43">
        <v>7007</v>
      </c>
    </row>
    <row r="50" spans="1:9" s="78" customFormat="1" ht="12.75">
      <c r="A50" s="2059"/>
      <c r="B50" s="2056"/>
      <c r="C50" s="1629" t="s">
        <v>685</v>
      </c>
      <c r="D50" s="43"/>
      <c r="E50" s="43"/>
      <c r="F50" s="43"/>
      <c r="G50" s="43"/>
      <c r="H50" s="43">
        <v>20316</v>
      </c>
      <c r="I50" s="43">
        <v>20316</v>
      </c>
    </row>
    <row r="51" spans="1:9" s="78" customFormat="1" ht="13.5" thickBot="1">
      <c r="A51" s="2060"/>
      <c r="B51" s="1996"/>
      <c r="C51" s="826" t="s">
        <v>744</v>
      </c>
      <c r="D51" s="72"/>
      <c r="E51" s="72"/>
      <c r="F51" s="72"/>
      <c r="G51" s="72"/>
      <c r="H51" s="72">
        <f>H48-H49-H50</f>
        <v>703</v>
      </c>
      <c r="I51" s="72">
        <v>703</v>
      </c>
    </row>
    <row r="52" spans="1:9" s="78" customFormat="1" ht="12.75">
      <c r="A52" s="1582">
        <v>12</v>
      </c>
      <c r="B52" s="1630" t="s">
        <v>745</v>
      </c>
      <c r="C52" s="825" t="s">
        <v>934</v>
      </c>
      <c r="D52" s="74"/>
      <c r="E52" s="74"/>
      <c r="F52" s="74"/>
      <c r="G52" s="74"/>
      <c r="H52" s="74"/>
      <c r="I52" s="74"/>
    </row>
    <row r="53" spans="1:9" ht="22.5" customHeight="1">
      <c r="A53" s="2054" t="s">
        <v>689</v>
      </c>
      <c r="B53" s="2055"/>
      <c r="C53" s="2055"/>
      <c r="D53" s="2055"/>
      <c r="E53" s="2055"/>
      <c r="F53" s="2055"/>
      <c r="G53" s="2055"/>
      <c r="H53" s="2055"/>
      <c r="I53" s="2055"/>
    </row>
    <row r="54" spans="1:9" ht="15.75" customHeight="1">
      <c r="A54" s="2025" t="s">
        <v>447</v>
      </c>
      <c r="B54" s="2027" t="s">
        <v>288</v>
      </c>
      <c r="C54" s="2028"/>
      <c r="D54" s="2046" t="s">
        <v>690</v>
      </c>
      <c r="E54" s="2046"/>
      <c r="F54" s="2046"/>
      <c r="G54" s="73"/>
      <c r="H54" s="73"/>
      <c r="I54" s="73"/>
    </row>
    <row r="55" spans="1:9" ht="23.25" customHeight="1" thickBot="1">
      <c r="A55" s="2026"/>
      <c r="B55" s="2029"/>
      <c r="C55" s="2030"/>
      <c r="D55" s="32" t="s">
        <v>691</v>
      </c>
      <c r="E55" s="2018" t="s">
        <v>692</v>
      </c>
      <c r="F55" s="2018"/>
      <c r="G55" s="73"/>
      <c r="H55" s="73"/>
      <c r="I55" s="73"/>
    </row>
    <row r="56" spans="1:6" ht="11.25" customHeight="1">
      <c r="A56" s="2023">
        <v>1</v>
      </c>
      <c r="B56" s="2012" t="s">
        <v>695</v>
      </c>
      <c r="C56" s="75" t="s">
        <v>683</v>
      </c>
      <c r="D56" s="75">
        <v>0</v>
      </c>
      <c r="E56" s="2016">
        <v>0</v>
      </c>
      <c r="F56" s="2016"/>
    </row>
    <row r="57" spans="1:6" ht="14.25" customHeight="1">
      <c r="A57" s="2009"/>
      <c r="B57" s="2024"/>
      <c r="C57" s="829" t="s">
        <v>934</v>
      </c>
      <c r="D57" s="828">
        <v>0</v>
      </c>
      <c r="E57" s="2006">
        <f>'6.mell'!F89</f>
        <v>826</v>
      </c>
      <c r="F57" s="2022"/>
    </row>
    <row r="58" spans="1:6" ht="12" customHeight="1" thickBot="1">
      <c r="A58" s="2009"/>
      <c r="B58" s="2024"/>
      <c r="C58" s="81" t="s">
        <v>685</v>
      </c>
      <c r="D58" s="81">
        <v>0</v>
      </c>
      <c r="E58" s="2019">
        <v>20113</v>
      </c>
      <c r="F58" s="2019"/>
    </row>
    <row r="59" spans="1:6" ht="18.75" customHeight="1">
      <c r="A59" s="2034">
        <v>2</v>
      </c>
      <c r="B59" s="2012" t="s">
        <v>706</v>
      </c>
      <c r="C59" s="75" t="s">
        <v>295</v>
      </c>
      <c r="D59" s="74">
        <v>0</v>
      </c>
      <c r="E59" s="2037">
        <v>0</v>
      </c>
      <c r="F59" s="2038"/>
    </row>
    <row r="60" spans="1:6" ht="14.25" customHeight="1">
      <c r="A60" s="2045"/>
      <c r="B60" s="2024"/>
      <c r="C60" s="829" t="s">
        <v>934</v>
      </c>
      <c r="D60" s="830">
        <v>0</v>
      </c>
      <c r="E60" s="2006">
        <f>'6.mell'!F90</f>
        <v>3285</v>
      </c>
      <c r="F60" s="2007"/>
    </row>
    <row r="61" spans="1:6" ht="17.25" customHeight="1" thickBot="1">
      <c r="A61" s="2025"/>
      <c r="B61" s="2013"/>
      <c r="C61" s="81" t="s">
        <v>685</v>
      </c>
      <c r="D61" s="71">
        <v>0</v>
      </c>
      <c r="E61" s="2039">
        <v>285</v>
      </c>
      <c r="F61" s="2040"/>
    </row>
    <row r="62" spans="1:6" ht="14.25" customHeight="1">
      <c r="A62" s="2034">
        <v>3</v>
      </c>
      <c r="B62" s="2012" t="s">
        <v>779</v>
      </c>
      <c r="C62" s="75" t="s">
        <v>295</v>
      </c>
      <c r="D62" s="74">
        <v>0</v>
      </c>
      <c r="E62" s="2041">
        <v>0</v>
      </c>
      <c r="F62" s="2042"/>
    </row>
    <row r="63" spans="1:6" ht="15.75" customHeight="1">
      <c r="A63" s="2035"/>
      <c r="B63" s="2024"/>
      <c r="C63" s="829" t="s">
        <v>934</v>
      </c>
      <c r="D63" s="830">
        <f>'6.mell'!F91</f>
        <v>2235</v>
      </c>
      <c r="E63" s="2006">
        <v>0</v>
      </c>
      <c r="F63" s="2007"/>
    </row>
    <row r="64" spans="1:6" ht="14.25" customHeight="1" thickBot="1">
      <c r="A64" s="2036"/>
      <c r="B64" s="2024"/>
      <c r="C64" s="81" t="s">
        <v>685</v>
      </c>
      <c r="D64" s="71">
        <v>1640</v>
      </c>
      <c r="E64" s="2043">
        <v>0</v>
      </c>
      <c r="F64" s="2044"/>
    </row>
    <row r="65" spans="1:6" ht="12.75" customHeight="1">
      <c r="A65" s="2008">
        <v>4</v>
      </c>
      <c r="B65" s="2001" t="s">
        <v>810</v>
      </c>
      <c r="C65" s="34" t="s">
        <v>295</v>
      </c>
      <c r="D65" s="95">
        <v>54267</v>
      </c>
      <c r="E65" s="2016">
        <v>0</v>
      </c>
      <c r="F65" s="2016"/>
    </row>
    <row r="66" spans="1:6" ht="15">
      <c r="A66" s="2009"/>
      <c r="B66" s="2002"/>
      <c r="C66" s="94" t="s">
        <v>812</v>
      </c>
      <c r="D66" s="96">
        <v>4560</v>
      </c>
      <c r="E66" s="2017">
        <v>0</v>
      </c>
      <c r="F66" s="2017"/>
    </row>
    <row r="67" spans="1:6" ht="15">
      <c r="A67" s="2009"/>
      <c r="B67" s="2002"/>
      <c r="C67" s="36" t="s">
        <v>296</v>
      </c>
      <c r="D67" s="96">
        <v>11379</v>
      </c>
      <c r="E67" s="1994">
        <v>17930</v>
      </c>
      <c r="F67" s="1994"/>
    </row>
    <row r="68" spans="1:6" ht="15">
      <c r="A68" s="2009"/>
      <c r="B68" s="2002"/>
      <c r="C68" s="36" t="s">
        <v>298</v>
      </c>
      <c r="D68" s="96">
        <v>117</v>
      </c>
      <c r="E68" s="1994">
        <v>17900</v>
      </c>
      <c r="F68" s="1994"/>
    </row>
    <row r="69" spans="1:6" ht="15">
      <c r="A69" s="2009"/>
      <c r="B69" s="2002"/>
      <c r="C69" s="36" t="s">
        <v>683</v>
      </c>
      <c r="D69" s="96">
        <v>14011</v>
      </c>
      <c r="E69" s="1994">
        <v>21016</v>
      </c>
      <c r="F69" s="1994"/>
    </row>
    <row r="70" spans="1:6" ht="15">
      <c r="A70" s="2009"/>
      <c r="B70" s="2003"/>
      <c r="C70" s="40" t="s">
        <v>934</v>
      </c>
      <c r="D70" s="99">
        <v>5239</v>
      </c>
      <c r="E70" s="2006">
        <v>0</v>
      </c>
      <c r="F70" s="2007"/>
    </row>
    <row r="71" spans="1:6" ht="15.75" thickBot="1">
      <c r="A71" s="2009"/>
      <c r="B71" s="2003"/>
      <c r="C71" s="102" t="s">
        <v>685</v>
      </c>
      <c r="D71" s="99">
        <v>0</v>
      </c>
      <c r="E71" s="2004">
        <v>0</v>
      </c>
      <c r="F71" s="2005"/>
    </row>
    <row r="72" spans="1:6" ht="15" customHeight="1">
      <c r="A72" s="2010">
        <v>5</v>
      </c>
      <c r="B72" s="2012" t="s">
        <v>851</v>
      </c>
      <c r="C72" s="75" t="s">
        <v>684</v>
      </c>
      <c r="D72" s="74">
        <v>159</v>
      </c>
      <c r="E72" s="2016">
        <v>0</v>
      </c>
      <c r="F72" s="2016"/>
    </row>
    <row r="73" spans="1:6" ht="15.75" thickBot="1">
      <c r="A73" s="2011"/>
      <c r="B73" s="2013"/>
      <c r="C73" s="826" t="s">
        <v>934</v>
      </c>
      <c r="D73" s="876">
        <f>'6.mell'!F93</f>
        <v>0</v>
      </c>
      <c r="E73" s="2014">
        <v>0</v>
      </c>
      <c r="F73" s="2015"/>
    </row>
  </sheetData>
  <sheetProtection/>
  <mergeCells count="62">
    <mergeCell ref="B6:C7"/>
    <mergeCell ref="D6:H6"/>
    <mergeCell ref="A5:D5"/>
    <mergeCell ref="A6:A7"/>
    <mergeCell ref="A13:A16"/>
    <mergeCell ref="A48:A51"/>
    <mergeCell ref="B17:B21"/>
    <mergeCell ref="A37:A39"/>
    <mergeCell ref="B37:B39"/>
    <mergeCell ref="A40:A43"/>
    <mergeCell ref="B22:B26"/>
    <mergeCell ref="A33:A36"/>
    <mergeCell ref="D54:F54"/>
    <mergeCell ref="B33:B36"/>
    <mergeCell ref="A27:A32"/>
    <mergeCell ref="B27:B32"/>
    <mergeCell ref="B13:B16"/>
    <mergeCell ref="A53:I53"/>
    <mergeCell ref="A17:A21"/>
    <mergeCell ref="B40:B43"/>
    <mergeCell ref="A22:A26"/>
    <mergeCell ref="B48:B51"/>
    <mergeCell ref="A62:A64"/>
    <mergeCell ref="E59:F59"/>
    <mergeCell ref="E61:F61"/>
    <mergeCell ref="E62:F62"/>
    <mergeCell ref="E64:F64"/>
    <mergeCell ref="B59:B61"/>
    <mergeCell ref="B62:B64"/>
    <mergeCell ref="A59:A61"/>
    <mergeCell ref="E63:F63"/>
    <mergeCell ref="E60:F60"/>
    <mergeCell ref="E56:F56"/>
    <mergeCell ref="E4:I4"/>
    <mergeCell ref="I6:I7"/>
    <mergeCell ref="E57:F57"/>
    <mergeCell ref="A56:A58"/>
    <mergeCell ref="B56:B58"/>
    <mergeCell ref="A54:A55"/>
    <mergeCell ref="B54:C55"/>
    <mergeCell ref="A8:A12"/>
    <mergeCell ref="B8:B12"/>
    <mergeCell ref="A72:A73"/>
    <mergeCell ref="B72:B73"/>
    <mergeCell ref="E73:F73"/>
    <mergeCell ref="E72:F72"/>
    <mergeCell ref="E68:F68"/>
    <mergeCell ref="F1:I1"/>
    <mergeCell ref="E65:F65"/>
    <mergeCell ref="E66:F66"/>
    <mergeCell ref="E55:F55"/>
    <mergeCell ref="E58:F58"/>
    <mergeCell ref="E69:F69"/>
    <mergeCell ref="B44:B45"/>
    <mergeCell ref="B46:B47"/>
    <mergeCell ref="A44:A45"/>
    <mergeCell ref="A46:A47"/>
    <mergeCell ref="B65:B71"/>
    <mergeCell ref="E71:F71"/>
    <mergeCell ref="E70:F70"/>
    <mergeCell ref="A65:A71"/>
    <mergeCell ref="E67:F6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7" r:id="rId2"/>
  <rowBreaks count="1" manualBreakCount="1">
    <brk id="39" min="2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22"/>
  <sheetViews>
    <sheetView zoomScaleSheetLayoutView="100" zoomScalePageLayoutView="0" workbookViewId="0" topLeftCell="A1">
      <selection activeCell="E23" sqref="E23"/>
    </sheetView>
  </sheetViews>
  <sheetFormatPr defaultColWidth="9.00390625" defaultRowHeight="12" customHeight="1"/>
  <cols>
    <col min="1" max="1" width="3.875" style="1595" customWidth="1"/>
    <col min="2" max="2" width="75.75390625" style="27" customWidth="1"/>
    <col min="3" max="3" width="8.25390625" style="27" customWidth="1"/>
    <col min="4" max="5" width="9.875" style="1596" customWidth="1"/>
    <col min="6" max="6" width="10.125" style="1596" customWidth="1"/>
    <col min="7" max="7" width="15.125" style="1596" customWidth="1"/>
    <col min="8" max="8" width="9.75390625" style="1597" customWidth="1"/>
    <col min="9" max="9" width="10.75390625" style="1598" customWidth="1"/>
    <col min="10" max="16384" width="9.125" style="1598" customWidth="1"/>
  </cols>
  <sheetData>
    <row r="1" ht="7.5" customHeight="1"/>
    <row r="3" ht="37.5" customHeight="1" thickBot="1">
      <c r="H3" s="1597" t="s">
        <v>836</v>
      </c>
    </row>
    <row r="4" spans="1:8" ht="13.5" customHeight="1">
      <c r="A4" s="2085" t="s">
        <v>935</v>
      </c>
      <c r="B4" s="2086"/>
      <c r="C4" s="1583"/>
      <c r="D4" s="2080" t="s">
        <v>737</v>
      </c>
      <c r="E4" s="2081"/>
      <c r="F4" s="2081"/>
      <c r="G4" s="2082"/>
      <c r="H4" s="2078" t="s">
        <v>315</v>
      </c>
    </row>
    <row r="5" spans="1:8" ht="24.75" customHeight="1">
      <c r="A5" s="2087"/>
      <c r="B5" s="2088"/>
      <c r="C5" s="1580" t="s">
        <v>743</v>
      </c>
      <c r="D5" s="1599" t="s">
        <v>936</v>
      </c>
      <c r="E5" s="1599" t="s">
        <v>937</v>
      </c>
      <c r="F5" s="1599" t="s">
        <v>938</v>
      </c>
      <c r="G5" s="1600" t="s">
        <v>939</v>
      </c>
      <c r="H5" s="2079"/>
    </row>
    <row r="6" spans="1:8" ht="10.5" customHeight="1">
      <c r="A6" s="1601" t="s">
        <v>316</v>
      </c>
      <c r="B6" s="1602" t="s">
        <v>738</v>
      </c>
      <c r="C6" s="1603">
        <f>'5.mell'!G375</f>
        <v>62123</v>
      </c>
      <c r="D6" s="1604">
        <v>70279</v>
      </c>
      <c r="E6" s="1604">
        <v>72644</v>
      </c>
      <c r="F6" s="1605">
        <v>75097</v>
      </c>
      <c r="G6" s="1606">
        <f>80278+83015+85853+88798+91854+95024+98314+33909+77640</f>
        <v>734685</v>
      </c>
      <c r="H6" s="1607">
        <f>SUM(C6:G6)</f>
        <v>1014828</v>
      </c>
    </row>
    <row r="7" spans="1:8" ht="11.25" customHeight="1">
      <c r="A7" s="1601" t="s">
        <v>318</v>
      </c>
      <c r="B7" s="1602" t="s">
        <v>739</v>
      </c>
      <c r="C7" s="1603">
        <f>'5.mell'!G371</f>
        <v>26061</v>
      </c>
      <c r="D7" s="1604">
        <v>29240</v>
      </c>
      <c r="E7" s="1604">
        <v>30124</v>
      </c>
      <c r="F7" s="1605">
        <v>31038</v>
      </c>
      <c r="G7" s="1606">
        <f>32960+33972+35018+36101+37221+39381+39581+31983</f>
        <v>286217</v>
      </c>
      <c r="H7" s="1607">
        <f>SUM(C7:G7)</f>
        <v>402680</v>
      </c>
    </row>
    <row r="8" spans="1:8" ht="11.25" customHeight="1">
      <c r="A8" s="1601" t="s">
        <v>319</v>
      </c>
      <c r="B8" s="1602" t="s">
        <v>740</v>
      </c>
      <c r="C8" s="1603">
        <v>6600</v>
      </c>
      <c r="D8" s="1604">
        <v>6600</v>
      </c>
      <c r="E8" s="1604">
        <v>3300</v>
      </c>
      <c r="F8" s="1605">
        <v>0</v>
      </c>
      <c r="G8" s="1604">
        <v>0</v>
      </c>
      <c r="H8" s="1607">
        <f>SUM(C8:G8)</f>
        <v>16500</v>
      </c>
    </row>
    <row r="9" spans="1:8" ht="11.25" customHeight="1">
      <c r="A9" s="1601" t="s">
        <v>321</v>
      </c>
      <c r="B9" s="1602" t="s">
        <v>1039</v>
      </c>
      <c r="C9" s="1603">
        <f>'6.mell'!F69+'6.mell'!F38</f>
        <v>61707</v>
      </c>
      <c r="D9" s="1604">
        <v>695967</v>
      </c>
      <c r="E9" s="1604">
        <v>0</v>
      </c>
      <c r="F9" s="1605">
        <v>0</v>
      </c>
      <c r="G9" s="1604">
        <v>0</v>
      </c>
      <c r="H9" s="1607">
        <f>C9+D9</f>
        <v>757674</v>
      </c>
    </row>
    <row r="10" spans="1:8" ht="12.75" customHeight="1">
      <c r="A10" s="1601" t="s">
        <v>322</v>
      </c>
      <c r="B10" s="1608" t="s">
        <v>680</v>
      </c>
      <c r="C10" s="1609">
        <f>'6.mell'!F39</f>
        <v>707</v>
      </c>
      <c r="D10" s="1604">
        <v>201046</v>
      </c>
      <c r="E10" s="1604">
        <v>266504</v>
      </c>
      <c r="F10" s="1605">
        <v>0</v>
      </c>
      <c r="G10" s="1604">
        <v>0</v>
      </c>
      <c r="H10" s="1607">
        <f>SUM(C10:G10)</f>
        <v>468257</v>
      </c>
    </row>
    <row r="11" spans="1:8" s="1613" customFormat="1" ht="14.25" customHeight="1" thickBot="1">
      <c r="A11" s="2083" t="s">
        <v>940</v>
      </c>
      <c r="B11" s="2084"/>
      <c r="C11" s="1610">
        <f aca="true" t="shared" si="0" ref="C11:H11">SUM(C6:C10)</f>
        <v>157198</v>
      </c>
      <c r="D11" s="1611">
        <f t="shared" si="0"/>
        <v>1003132</v>
      </c>
      <c r="E11" s="1611">
        <f t="shared" si="0"/>
        <v>372572</v>
      </c>
      <c r="F11" s="1611">
        <f t="shared" si="0"/>
        <v>106135</v>
      </c>
      <c r="G11" s="1611">
        <f t="shared" si="0"/>
        <v>1020902</v>
      </c>
      <c r="H11" s="1612">
        <f t="shared" si="0"/>
        <v>2659939</v>
      </c>
    </row>
    <row r="12" spans="1:8" s="1613" customFormat="1" ht="14.25" customHeight="1">
      <c r="A12" s="1696"/>
      <c r="B12" s="1696"/>
      <c r="C12" s="1697"/>
      <c r="D12" s="1619"/>
      <c r="E12" s="1619"/>
      <c r="F12" s="1619"/>
      <c r="G12" s="1619"/>
      <c r="H12" s="1619"/>
    </row>
    <row r="13" spans="1:8" s="1613" customFormat="1" ht="13.5" customHeight="1">
      <c r="A13" s="1614" t="s">
        <v>942</v>
      </c>
      <c r="B13" s="27"/>
      <c r="C13" s="27"/>
      <c r="D13" s="1596"/>
      <c r="E13" s="1596"/>
      <c r="F13" s="1596"/>
      <c r="G13" s="1596"/>
      <c r="H13" s="1597"/>
    </row>
    <row r="14" spans="1:8" s="1613" customFormat="1" ht="11.25" customHeight="1">
      <c r="A14" s="1615" t="s">
        <v>741</v>
      </c>
      <c r="B14" s="27" t="s">
        <v>396</v>
      </c>
      <c r="C14" s="27"/>
      <c r="D14" s="1596"/>
      <c r="E14" s="1596"/>
      <c r="F14" s="1596"/>
      <c r="G14" s="1596"/>
      <c r="H14" s="1597"/>
    </row>
    <row r="15" spans="1:8" s="1613" customFormat="1" ht="13.5" customHeight="1" thickBot="1">
      <c r="A15" s="1616"/>
      <c r="B15" s="1617"/>
      <c r="C15" s="1617"/>
      <c r="D15" s="1618"/>
      <c r="E15" s="1618"/>
      <c r="F15" s="1618"/>
      <c r="G15" s="1618"/>
      <c r="H15" s="1619"/>
    </row>
    <row r="16" spans="1:8" ht="12.75" customHeight="1">
      <c r="A16" s="2085" t="s">
        <v>941</v>
      </c>
      <c r="B16" s="2086"/>
      <c r="C16" s="1583"/>
      <c r="D16" s="2080" t="s">
        <v>397</v>
      </c>
      <c r="E16" s="2081"/>
      <c r="F16" s="2081"/>
      <c r="G16" s="2082"/>
      <c r="H16" s="2078" t="s">
        <v>315</v>
      </c>
    </row>
    <row r="17" spans="1:8" ht="26.25" customHeight="1">
      <c r="A17" s="2087"/>
      <c r="B17" s="2088"/>
      <c r="C17" s="1580" t="s">
        <v>743</v>
      </c>
      <c r="D17" s="1599" t="s">
        <v>936</v>
      </c>
      <c r="E17" s="1599" t="s">
        <v>937</v>
      </c>
      <c r="F17" s="1599" t="s">
        <v>938</v>
      </c>
      <c r="G17" s="1600" t="s">
        <v>939</v>
      </c>
      <c r="H17" s="2079"/>
    </row>
    <row r="18" spans="1:8" ht="12" customHeight="1">
      <c r="A18" s="1601" t="s">
        <v>316</v>
      </c>
      <c r="B18" s="1620" t="s">
        <v>742</v>
      </c>
      <c r="C18" s="1604">
        <f>'3.mell'!E409</f>
        <v>1760</v>
      </c>
      <c r="D18" s="1604">
        <v>1538</v>
      </c>
      <c r="E18" s="1621">
        <v>1287</v>
      </c>
      <c r="F18" s="1606">
        <v>933</v>
      </c>
      <c r="G18" s="1606">
        <f>4690+4270-1783+850+24+933</f>
        <v>8984</v>
      </c>
      <c r="H18" s="1607">
        <f>SUM(C18:G18)</f>
        <v>14502</v>
      </c>
    </row>
    <row r="19" spans="1:8" ht="12" customHeight="1">
      <c r="A19" s="1622" t="s">
        <v>318</v>
      </c>
      <c r="B19" s="1602" t="s">
        <v>1039</v>
      </c>
      <c r="C19" s="1628">
        <f>'3.mell'!E309</f>
        <v>81836</v>
      </c>
      <c r="D19" s="1604">
        <f>486485+96185</f>
        <v>582670</v>
      </c>
      <c r="E19" s="1605">
        <v>0</v>
      </c>
      <c r="F19" s="1605">
        <v>0</v>
      </c>
      <c r="G19" s="1604">
        <v>0</v>
      </c>
      <c r="H19" s="1607">
        <f>C19+D19</f>
        <v>664506</v>
      </c>
    </row>
    <row r="20" spans="1:8" ht="14.25" customHeight="1">
      <c r="A20" s="1622" t="s">
        <v>319</v>
      </c>
      <c r="B20" s="1623" t="s">
        <v>680</v>
      </c>
      <c r="C20" s="1624">
        <v>0</v>
      </c>
      <c r="D20" s="1604">
        <v>179492</v>
      </c>
      <c r="E20" s="1604">
        <v>238842</v>
      </c>
      <c r="F20" s="1605">
        <v>0</v>
      </c>
      <c r="G20" s="1604">
        <v>0</v>
      </c>
      <c r="H20" s="1607">
        <f>SUM(C20:G20)</f>
        <v>418334</v>
      </c>
    </row>
    <row r="21" spans="1:8" s="1613" customFormat="1" ht="13.5" customHeight="1" thickBot="1">
      <c r="A21" s="2083" t="s">
        <v>940</v>
      </c>
      <c r="B21" s="2084"/>
      <c r="C21" s="1625">
        <f aca="true" t="shared" si="1" ref="C21:H21">SUM(C18:C20)</f>
        <v>83596</v>
      </c>
      <c r="D21" s="1611">
        <f t="shared" si="1"/>
        <v>763700</v>
      </c>
      <c r="E21" s="1611">
        <f>SUM(E18:E20)</f>
        <v>240129</v>
      </c>
      <c r="F21" s="1611">
        <f t="shared" si="1"/>
        <v>933</v>
      </c>
      <c r="G21" s="1611">
        <f t="shared" si="1"/>
        <v>8984</v>
      </c>
      <c r="H21" s="1626">
        <f t="shared" si="1"/>
        <v>1097342</v>
      </c>
    </row>
    <row r="22" ht="9.75" customHeight="1">
      <c r="H22" s="1627"/>
    </row>
  </sheetData>
  <sheetProtection/>
  <mergeCells count="8">
    <mergeCell ref="H4:H5"/>
    <mergeCell ref="H16:H17"/>
    <mergeCell ref="D4:G4"/>
    <mergeCell ref="D16:G16"/>
    <mergeCell ref="A21:B21"/>
    <mergeCell ref="A4:B5"/>
    <mergeCell ref="A16:B17"/>
    <mergeCell ref="A11:B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B1">
      <selection activeCell="E23" sqref="E23"/>
    </sheetView>
  </sheetViews>
  <sheetFormatPr defaultColWidth="9.00390625" defaultRowHeight="12.75"/>
  <cols>
    <col min="1" max="1" width="3.125" style="918" bestFit="1" customWidth="1"/>
    <col min="2" max="2" width="3.875" style="968" customWidth="1"/>
    <col min="3" max="3" width="57.00390625" style="921" customWidth="1"/>
    <col min="4" max="4" width="18.875" style="921" customWidth="1"/>
    <col min="5" max="6" width="8.375" style="921" customWidth="1"/>
    <col min="7" max="8" width="7.75390625" style="921" customWidth="1"/>
    <col min="9" max="9" width="9.125" style="921" customWidth="1"/>
    <col min="10" max="10" width="8.00390625" style="921" customWidth="1"/>
    <col min="11" max="11" width="10.75390625" style="962" customWidth="1"/>
    <col min="12" max="16384" width="9.125" style="921" customWidth="1"/>
  </cols>
  <sheetData>
    <row r="1" spans="2:11" ht="12.75">
      <c r="B1" s="919"/>
      <c r="C1" s="920"/>
      <c r="D1" s="920"/>
      <c r="E1" s="920"/>
      <c r="G1" s="920"/>
      <c r="H1" s="920"/>
      <c r="J1" s="920"/>
      <c r="K1" s="922"/>
    </row>
    <row r="2" spans="2:11" ht="12.75">
      <c r="B2" s="919"/>
      <c r="C2" s="920"/>
      <c r="D2" s="920"/>
      <c r="E2" s="920"/>
      <c r="G2" s="920"/>
      <c r="H2" s="920"/>
      <c r="J2" s="920"/>
      <c r="K2" s="922"/>
    </row>
    <row r="3" spans="2:11" ht="4.5" customHeight="1">
      <c r="B3" s="919"/>
      <c r="C3" s="920"/>
      <c r="D3" s="920"/>
      <c r="E3" s="920"/>
      <c r="F3" s="920"/>
      <c r="G3" s="920"/>
      <c r="H3" s="920"/>
      <c r="I3" s="920"/>
      <c r="J3" s="920"/>
      <c r="K3" s="922"/>
    </row>
    <row r="4" spans="2:11" ht="13.5" thickBot="1">
      <c r="B4" s="919"/>
      <c r="C4" s="920"/>
      <c r="D4" s="920"/>
      <c r="E4" s="920"/>
      <c r="F4" s="920"/>
      <c r="G4" s="2106" t="s">
        <v>836</v>
      </c>
      <c r="H4" s="2106"/>
      <c r="I4" s="2106"/>
      <c r="J4" s="2106"/>
      <c r="K4" s="2106"/>
    </row>
    <row r="5" spans="1:11" ht="48.75" customHeight="1">
      <c r="A5" s="2107" t="s">
        <v>746</v>
      </c>
      <c r="B5" s="923"/>
      <c r="C5" s="924" t="s">
        <v>950</v>
      </c>
      <c r="D5" s="925" t="s">
        <v>951</v>
      </c>
      <c r="E5" s="926" t="s">
        <v>952</v>
      </c>
      <c r="F5" s="926" t="s">
        <v>953</v>
      </c>
      <c r="G5" s="926" t="s">
        <v>954</v>
      </c>
      <c r="H5" s="926" t="s">
        <v>955</v>
      </c>
      <c r="I5" s="926" t="s">
        <v>956</v>
      </c>
      <c r="J5" s="926" t="s">
        <v>957</v>
      </c>
      <c r="K5" s="927" t="s">
        <v>958</v>
      </c>
    </row>
    <row r="6" spans="1:11" ht="36.75" customHeight="1">
      <c r="A6" s="2108"/>
      <c r="B6" s="928" t="s">
        <v>316</v>
      </c>
      <c r="C6" s="929" t="s">
        <v>959</v>
      </c>
      <c r="D6" s="930" t="s">
        <v>960</v>
      </c>
      <c r="E6" s="931">
        <v>2006</v>
      </c>
      <c r="F6" s="931">
        <v>2026</v>
      </c>
      <c r="G6" s="931">
        <v>17601</v>
      </c>
      <c r="H6" s="931">
        <v>14179</v>
      </c>
      <c r="I6" s="932">
        <v>978</v>
      </c>
      <c r="J6" s="931">
        <f>H6-I6</f>
        <v>13201</v>
      </c>
      <c r="K6" s="933">
        <v>978</v>
      </c>
    </row>
    <row r="7" spans="1:11" ht="12.75">
      <c r="A7" s="2108"/>
      <c r="B7" s="928" t="s">
        <v>318</v>
      </c>
      <c r="C7" s="929" t="s">
        <v>961</v>
      </c>
      <c r="D7" s="934" t="s">
        <v>962</v>
      </c>
      <c r="E7" s="931">
        <v>2010</v>
      </c>
      <c r="F7" s="931">
        <v>2011</v>
      </c>
      <c r="G7" s="931">
        <v>250000</v>
      </c>
      <c r="H7" s="931">
        <v>31403</v>
      </c>
      <c r="I7" s="932">
        <v>31403</v>
      </c>
      <c r="J7" s="931">
        <v>0</v>
      </c>
      <c r="K7" s="933">
        <v>0</v>
      </c>
    </row>
    <row r="8" spans="1:11" ht="27.75" customHeight="1" thickBot="1">
      <c r="A8" s="2108"/>
      <c r="B8" s="1633" t="s">
        <v>319</v>
      </c>
      <c r="C8" s="1634" t="s">
        <v>983</v>
      </c>
      <c r="D8" s="1635" t="s">
        <v>963</v>
      </c>
      <c r="E8" s="931">
        <v>2008</v>
      </c>
      <c r="F8" s="931">
        <v>2028</v>
      </c>
      <c r="G8" s="931" t="s">
        <v>984</v>
      </c>
      <c r="H8" s="931">
        <v>938990</v>
      </c>
      <c r="I8" s="932">
        <v>0</v>
      </c>
      <c r="J8" s="931">
        <v>879113</v>
      </c>
      <c r="K8" s="933">
        <v>30000</v>
      </c>
    </row>
    <row r="9" spans="1:11" ht="13.5" thickBot="1">
      <c r="A9" s="2109"/>
      <c r="B9" s="2113" t="s">
        <v>940</v>
      </c>
      <c r="C9" s="2114"/>
      <c r="D9" s="2115"/>
      <c r="E9" s="935"/>
      <c r="F9" s="935"/>
      <c r="G9" s="935">
        <v>1326425</v>
      </c>
      <c r="H9" s="935">
        <f>SUM(H6:H8)</f>
        <v>984572</v>
      </c>
      <c r="I9" s="935">
        <f>SUM(I6:I8)</f>
        <v>32381</v>
      </c>
      <c r="J9" s="935">
        <f>SUM(J6:J8)</f>
        <v>892314</v>
      </c>
      <c r="K9" s="936">
        <f>SUM(K6:K8)</f>
        <v>30978</v>
      </c>
    </row>
    <row r="10" spans="2:11" ht="4.5" customHeight="1" thickBot="1">
      <c r="B10" s="919"/>
      <c r="C10" s="920"/>
      <c r="D10" s="937"/>
      <c r="E10" s="920"/>
      <c r="F10" s="938"/>
      <c r="G10" s="939"/>
      <c r="H10" s="938"/>
      <c r="I10" s="920"/>
      <c r="J10" s="920"/>
      <c r="K10" s="922"/>
    </row>
    <row r="11" spans="1:11" ht="15.75" customHeight="1">
      <c r="A11" s="2110" t="s">
        <v>747</v>
      </c>
      <c r="B11" s="940" t="s">
        <v>316</v>
      </c>
      <c r="C11" s="941" t="s">
        <v>964</v>
      </c>
      <c r="D11" s="934" t="s">
        <v>965</v>
      </c>
      <c r="E11" s="942" t="s">
        <v>966</v>
      </c>
      <c r="F11" s="943">
        <v>2021</v>
      </c>
      <c r="G11" s="944">
        <v>3949</v>
      </c>
      <c r="H11" s="944">
        <v>3278</v>
      </c>
      <c r="I11" s="945">
        <f>1672-110</f>
        <v>1562</v>
      </c>
      <c r="J11" s="944">
        <f>H11-I11</f>
        <v>1716</v>
      </c>
      <c r="K11" s="946">
        <v>523</v>
      </c>
    </row>
    <row r="12" spans="1:11" ht="14.25" customHeight="1">
      <c r="A12" s="2111"/>
      <c r="B12" s="928" t="s">
        <v>318</v>
      </c>
      <c r="C12" s="934" t="s">
        <v>967</v>
      </c>
      <c r="D12" s="934" t="s">
        <v>968</v>
      </c>
      <c r="E12" s="931" t="s">
        <v>966</v>
      </c>
      <c r="F12" s="947">
        <v>2020</v>
      </c>
      <c r="G12" s="948">
        <f>1137+167</f>
        <v>1304</v>
      </c>
      <c r="H12" s="948">
        <v>660</v>
      </c>
      <c r="I12" s="948">
        <v>184</v>
      </c>
      <c r="J12" s="948">
        <f>H12-I12</f>
        <v>476</v>
      </c>
      <c r="K12" s="949">
        <v>160</v>
      </c>
    </row>
    <row r="13" spans="1:11" ht="16.5" customHeight="1">
      <c r="A13" s="2111"/>
      <c r="B13" s="928" t="s">
        <v>319</v>
      </c>
      <c r="C13" s="934" t="s">
        <v>969</v>
      </c>
      <c r="D13" s="934" t="s">
        <v>965</v>
      </c>
      <c r="E13" s="931" t="s">
        <v>966</v>
      </c>
      <c r="F13" s="947" t="s">
        <v>966</v>
      </c>
      <c r="G13" s="948">
        <v>2467</v>
      </c>
      <c r="H13" s="948">
        <v>2064</v>
      </c>
      <c r="I13" s="948">
        <v>110</v>
      </c>
      <c r="J13" s="948">
        <f>H13-I13</f>
        <v>1954</v>
      </c>
      <c r="K13" s="949">
        <v>110</v>
      </c>
    </row>
    <row r="14" spans="1:11" ht="27" customHeight="1" thickBot="1">
      <c r="A14" s="2111"/>
      <c r="B14" s="1633" t="s">
        <v>321</v>
      </c>
      <c r="C14" s="1636" t="s">
        <v>970</v>
      </c>
      <c r="D14" s="1635" t="s">
        <v>971</v>
      </c>
      <c r="E14" s="931" t="s">
        <v>966</v>
      </c>
      <c r="F14" s="947" t="s">
        <v>966</v>
      </c>
      <c r="G14" s="948">
        <v>20243</v>
      </c>
      <c r="H14" s="948">
        <v>11226</v>
      </c>
      <c r="I14" s="948">
        <v>1576</v>
      </c>
      <c r="J14" s="948">
        <f>H14-I14</f>
        <v>9650</v>
      </c>
      <c r="K14" s="949">
        <v>1521</v>
      </c>
    </row>
    <row r="15" spans="1:11" ht="15" customHeight="1" thickBot="1">
      <c r="A15" s="2112"/>
      <c r="B15" s="2113" t="s">
        <v>940</v>
      </c>
      <c r="C15" s="2114"/>
      <c r="D15" s="2115"/>
      <c r="E15" s="935"/>
      <c r="F15" s="935"/>
      <c r="G15" s="935">
        <f>G11+G12+G13+G14</f>
        <v>27963</v>
      </c>
      <c r="H15" s="935">
        <f>H11+H12+H13+H14</f>
        <v>17228</v>
      </c>
      <c r="I15" s="935">
        <f>I11+I12+I13+I14</f>
        <v>3432</v>
      </c>
      <c r="J15" s="935">
        <f>J11+J12+J13+J14</f>
        <v>13796</v>
      </c>
      <c r="K15" s="936">
        <f>K11+K12+K13+K14</f>
        <v>2314</v>
      </c>
    </row>
    <row r="16" spans="2:11" ht="13.5" thickBot="1">
      <c r="B16" s="919"/>
      <c r="C16" s="950" t="s">
        <v>985</v>
      </c>
      <c r="D16" s="920"/>
      <c r="E16" s="920"/>
      <c r="F16" s="920"/>
      <c r="G16" s="920"/>
      <c r="H16" s="920"/>
      <c r="I16" s="951"/>
      <c r="J16" s="920"/>
      <c r="K16" s="922"/>
    </row>
    <row r="17" spans="1:11" s="952" customFormat="1" ht="12.75">
      <c r="A17" s="918"/>
      <c r="B17" s="2116"/>
      <c r="C17" s="2118" t="s">
        <v>972</v>
      </c>
      <c r="D17" s="2098" t="s">
        <v>973</v>
      </c>
      <c r="E17" s="2098" t="s">
        <v>974</v>
      </c>
      <c r="F17" s="2104" t="s">
        <v>975</v>
      </c>
      <c r="G17" s="2104"/>
      <c r="H17" s="2104"/>
      <c r="I17" s="2104"/>
      <c r="J17" s="2105"/>
      <c r="K17" s="2120" t="s">
        <v>315</v>
      </c>
    </row>
    <row r="18" spans="1:11" s="952" customFormat="1" ht="48" customHeight="1">
      <c r="A18" s="918"/>
      <c r="B18" s="2117"/>
      <c r="C18" s="2119"/>
      <c r="D18" s="2099"/>
      <c r="E18" s="2099"/>
      <c r="F18" s="953" t="s">
        <v>936</v>
      </c>
      <c r="G18" s="953" t="s">
        <v>937</v>
      </c>
      <c r="H18" s="953" t="s">
        <v>938</v>
      </c>
      <c r="I18" s="2122" t="s">
        <v>976</v>
      </c>
      <c r="J18" s="2123"/>
      <c r="K18" s="2121"/>
    </row>
    <row r="19" spans="2:11" ht="23.25" customHeight="1">
      <c r="B19" s="2093" t="s">
        <v>977</v>
      </c>
      <c r="C19" s="954" t="s">
        <v>978</v>
      </c>
      <c r="D19" s="955">
        <v>978</v>
      </c>
      <c r="E19" s="956">
        <v>978</v>
      </c>
      <c r="F19" s="955">
        <v>978</v>
      </c>
      <c r="G19" s="955">
        <v>978</v>
      </c>
      <c r="H19" s="955">
        <v>978</v>
      </c>
      <c r="I19" s="2089">
        <f>10267</f>
        <v>10267</v>
      </c>
      <c r="J19" s="2090"/>
      <c r="K19" s="957">
        <f>SUM(E19:J19)</f>
        <v>14179</v>
      </c>
    </row>
    <row r="20" spans="2:11" ht="24.75" customHeight="1">
      <c r="B20" s="2094"/>
      <c r="C20" s="954" t="s">
        <v>979</v>
      </c>
      <c r="D20" s="955">
        <v>518</v>
      </c>
      <c r="E20" s="956">
        <v>456</v>
      </c>
      <c r="F20" s="955">
        <v>604</v>
      </c>
      <c r="G20" s="955">
        <v>642</v>
      </c>
      <c r="H20" s="955">
        <v>652</v>
      </c>
      <c r="I20" s="2102">
        <v>2232</v>
      </c>
      <c r="J20" s="2103"/>
      <c r="K20" s="957">
        <f>SUM(E20:J20)</f>
        <v>4586</v>
      </c>
    </row>
    <row r="21" spans="2:11" ht="23.25" customHeight="1">
      <c r="B21" s="2095" t="s">
        <v>980</v>
      </c>
      <c r="C21" s="954" t="s">
        <v>981</v>
      </c>
      <c r="D21" s="955">
        <v>0</v>
      </c>
      <c r="E21" s="956">
        <v>0</v>
      </c>
      <c r="F21" s="955">
        <v>30000</v>
      </c>
      <c r="G21" s="955">
        <v>57000</v>
      </c>
      <c r="H21" s="955">
        <v>57000</v>
      </c>
      <c r="I21" s="2102">
        <f>741000</f>
        <v>741000</v>
      </c>
      <c r="J21" s="2103"/>
      <c r="K21" s="957">
        <f>SUM(E21:J21)</f>
        <v>885000</v>
      </c>
    </row>
    <row r="22" spans="2:11" ht="23.25" customHeight="1">
      <c r="B22" s="2094"/>
      <c r="C22" s="954" t="s">
        <v>982</v>
      </c>
      <c r="D22" s="955">
        <v>0</v>
      </c>
      <c r="E22" s="956">
        <v>22955</v>
      </c>
      <c r="F22" s="955">
        <v>27803</v>
      </c>
      <c r="G22" s="955">
        <v>32594</v>
      </c>
      <c r="H22" s="955">
        <v>35369</v>
      </c>
      <c r="I22" s="2089">
        <f>37060*13</f>
        <v>481780</v>
      </c>
      <c r="J22" s="2090"/>
      <c r="K22" s="957">
        <f>SUM(E22:J22)</f>
        <v>600501</v>
      </c>
    </row>
    <row r="23" spans="1:11" s="962" customFormat="1" ht="13.5" thickBot="1">
      <c r="A23" s="958"/>
      <c r="B23" s="2096" t="s">
        <v>315</v>
      </c>
      <c r="C23" s="2097"/>
      <c r="D23" s="959">
        <f>SUM(D19:D22)</f>
        <v>1496</v>
      </c>
      <c r="E23" s="959">
        <f>SUM(E19:E22)</f>
        <v>24389</v>
      </c>
      <c r="F23" s="960">
        <f>SUM(F19:F22)</f>
        <v>59385</v>
      </c>
      <c r="G23" s="960">
        <f>SUM(G19:G22)</f>
        <v>91214</v>
      </c>
      <c r="H23" s="960">
        <f>SUM(H19:H22)</f>
        <v>93999</v>
      </c>
      <c r="I23" s="2100">
        <f>SUM(I19:J22)</f>
        <v>1235279</v>
      </c>
      <c r="J23" s="2101"/>
      <c r="K23" s="961">
        <f>SUM(K19:K22)</f>
        <v>1504266</v>
      </c>
    </row>
    <row r="24" spans="1:11" s="952" customFormat="1" ht="13.5" thickBot="1">
      <c r="A24" s="918"/>
      <c r="B24" s="1637" t="s">
        <v>318</v>
      </c>
      <c r="C24" s="963" t="s">
        <v>1141</v>
      </c>
      <c r="D24" s="964">
        <f>'3.mell'!D65+'3.mell'!D110+'3.mell'!D155</f>
        <v>614979</v>
      </c>
      <c r="E24" s="965">
        <f>'3.mell'!D66+'3.mell'!D111+'3.mell'!D156</f>
        <v>667880</v>
      </c>
      <c r="F24" s="966">
        <v>607625</v>
      </c>
      <c r="G24" s="966">
        <v>582685</v>
      </c>
      <c r="H24" s="966">
        <v>583921</v>
      </c>
      <c r="I24" s="2091">
        <f>7022328+585194</f>
        <v>7607522</v>
      </c>
      <c r="J24" s="2092"/>
      <c r="K24" s="967">
        <f>I24+H24+G24+F24+E24</f>
        <v>10049633</v>
      </c>
    </row>
  </sheetData>
  <sheetProtection/>
  <mergeCells count="21">
    <mergeCell ref="I18:J18"/>
    <mergeCell ref="F17:J17"/>
    <mergeCell ref="G4:K4"/>
    <mergeCell ref="A5:A9"/>
    <mergeCell ref="A11:A15"/>
    <mergeCell ref="B9:D9"/>
    <mergeCell ref="B15:D15"/>
    <mergeCell ref="B17:B18"/>
    <mergeCell ref="C17:C18"/>
    <mergeCell ref="D17:D18"/>
    <mergeCell ref="K17:K18"/>
    <mergeCell ref="I19:J19"/>
    <mergeCell ref="I24:J24"/>
    <mergeCell ref="B19:B20"/>
    <mergeCell ref="B21:B22"/>
    <mergeCell ref="B23:C23"/>
    <mergeCell ref="E17:E18"/>
    <mergeCell ref="I22:J22"/>
    <mergeCell ref="I23:J23"/>
    <mergeCell ref="I20:J20"/>
    <mergeCell ref="I21:J21"/>
  </mergeCells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4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00390625" style="1567" customWidth="1"/>
    <col min="2" max="2" width="26.25390625" style="0" customWidth="1"/>
    <col min="3" max="3" width="10.625" style="0" customWidth="1"/>
    <col min="4" max="4" width="21.625" style="0" customWidth="1"/>
    <col min="5" max="5" width="17.875" style="0" customWidth="1"/>
    <col min="6" max="6" width="9.875" style="0" customWidth="1"/>
    <col min="7" max="7" width="11.25390625" style="0" customWidth="1"/>
    <col min="8" max="8" width="12.625" style="0" customWidth="1"/>
    <col min="9" max="9" width="8.875" style="0" customWidth="1"/>
    <col min="10" max="10" width="6.75390625" style="0" customWidth="1"/>
  </cols>
  <sheetData>
    <row r="3" spans="1:9" ht="16.5" customHeight="1" thickBot="1">
      <c r="A3" s="1562"/>
      <c r="I3" s="1691" t="s">
        <v>392</v>
      </c>
    </row>
    <row r="4" spans="1:10" s="1502" customFormat="1" ht="15" customHeight="1">
      <c r="A4" s="1563"/>
      <c r="B4" s="1500"/>
      <c r="C4" s="2127" t="s">
        <v>986</v>
      </c>
      <c r="D4" s="2128"/>
      <c r="E4" s="2129"/>
      <c r="F4" s="2127" t="s">
        <v>987</v>
      </c>
      <c r="G4" s="2128"/>
      <c r="H4" s="2131"/>
      <c r="I4" s="2124" t="s">
        <v>948</v>
      </c>
      <c r="J4" s="1501"/>
    </row>
    <row r="5" spans="1:10" s="1502" customFormat="1" ht="12" customHeight="1">
      <c r="A5" s="1564"/>
      <c r="B5" s="1503" t="s">
        <v>945</v>
      </c>
      <c r="C5" s="2130" t="s">
        <v>989</v>
      </c>
      <c r="D5" s="2130" t="s">
        <v>990</v>
      </c>
      <c r="E5" s="2130" t="s">
        <v>991</v>
      </c>
      <c r="F5" s="2130" t="s">
        <v>989</v>
      </c>
      <c r="G5" s="2130" t="s">
        <v>990</v>
      </c>
      <c r="H5" s="2149" t="s">
        <v>992</v>
      </c>
      <c r="I5" s="2125"/>
      <c r="J5" s="1501"/>
    </row>
    <row r="6" spans="1:10" s="1502" customFormat="1" ht="13.5" customHeight="1" thickBot="1">
      <c r="A6" s="1565"/>
      <c r="B6" s="1504"/>
      <c r="C6" s="1960"/>
      <c r="D6" s="1960"/>
      <c r="E6" s="1960"/>
      <c r="F6" s="1960"/>
      <c r="G6" s="1960"/>
      <c r="H6" s="2150"/>
      <c r="I6" s="2126"/>
      <c r="J6" s="1501"/>
    </row>
    <row r="7" spans="1:10" s="10" customFormat="1" ht="23.25" customHeight="1">
      <c r="A7" s="1566" t="s">
        <v>316</v>
      </c>
      <c r="B7" s="1505" t="s">
        <v>596</v>
      </c>
      <c r="C7" s="1506">
        <f>'4.mell '!$C$13+'4.mell '!$E$13+'4.mell '!$J$13</f>
        <v>34612</v>
      </c>
      <c r="D7" s="1506">
        <f>'4.mell '!$C$14+'4.mell '!$E$14+'4.mell '!$J$14</f>
        <v>36093</v>
      </c>
      <c r="E7" s="1506">
        <f>D7-C7</f>
        <v>1481</v>
      </c>
      <c r="F7" s="1506">
        <f>'5.mell'!$O$10</f>
        <v>82819</v>
      </c>
      <c r="G7" s="1506">
        <f>'5.mell'!$O$11</f>
        <v>79583</v>
      </c>
      <c r="H7" s="1507">
        <f aca="true" t="shared" si="0" ref="H7:H12">F7-G7</f>
        <v>3236</v>
      </c>
      <c r="I7" s="1508">
        <f aca="true" t="shared" si="1" ref="I7:I13">H7+E7</f>
        <v>4717</v>
      </c>
      <c r="J7" s="1509"/>
    </row>
    <row r="8" spans="1:10" s="10" customFormat="1" ht="26.25" customHeight="1">
      <c r="A8" s="1566" t="s">
        <v>318</v>
      </c>
      <c r="B8" s="1505" t="s">
        <v>472</v>
      </c>
      <c r="C8" s="1506">
        <f>'4.mell '!$C$17+'4.mell '!$J$17</f>
        <v>7142</v>
      </c>
      <c r="D8" s="1506">
        <f>'4.mell '!$C$18+'4.mell '!$J$18+'4.mell '!E18</f>
        <v>7573</v>
      </c>
      <c r="E8" s="1506">
        <f>D8-C8+'4.mell '!I18-'4.mell '!I17</f>
        <v>1939</v>
      </c>
      <c r="F8" s="1506">
        <f>'5.mell'!$O$26</f>
        <v>90154</v>
      </c>
      <c r="G8" s="1506">
        <f>'5.mell'!$O$27</f>
        <v>86024</v>
      </c>
      <c r="H8" s="1507">
        <f t="shared" si="0"/>
        <v>4130</v>
      </c>
      <c r="I8" s="1508">
        <f t="shared" si="1"/>
        <v>6069</v>
      </c>
      <c r="J8" s="1509"/>
    </row>
    <row r="9" spans="1:10" s="10" customFormat="1" ht="13.5" customHeight="1">
      <c r="A9" s="1566" t="s">
        <v>319</v>
      </c>
      <c r="B9" s="1510" t="s">
        <v>827</v>
      </c>
      <c r="C9" s="1506">
        <f>'4.mell '!$C$21+'4.mell '!$J$21</f>
        <v>5505</v>
      </c>
      <c r="D9" s="1506">
        <f>'4.mell '!$C$22+'4.mell '!$J$22</f>
        <v>5317</v>
      </c>
      <c r="E9" s="1506">
        <f>D9-C9</f>
        <v>-188</v>
      </c>
      <c r="F9" s="1506">
        <f>'5.mell'!$O$30</f>
        <v>23290</v>
      </c>
      <c r="G9" s="1506">
        <f>'5.mell'!$O$31</f>
        <v>21480</v>
      </c>
      <c r="H9" s="1507">
        <f t="shared" si="0"/>
        <v>1810</v>
      </c>
      <c r="I9" s="1508">
        <f t="shared" si="1"/>
        <v>1622</v>
      </c>
      <c r="J9" s="1509"/>
    </row>
    <row r="10" spans="1:10" s="10" customFormat="1" ht="15" customHeight="1">
      <c r="A10" s="1566" t="s">
        <v>321</v>
      </c>
      <c r="B10" s="1505" t="s">
        <v>995</v>
      </c>
      <c r="C10" s="1506">
        <f>'4.mell '!$C$25+'4.mell '!$E$25+'4.mell '!$J$25</f>
        <v>2282</v>
      </c>
      <c r="D10" s="1506">
        <f>'4.mell '!$C$26+'4.mell '!$E$26+'4.mell '!$J$26</f>
        <v>2346</v>
      </c>
      <c r="E10" s="1506">
        <f>D10-C10</f>
        <v>64</v>
      </c>
      <c r="F10" s="1506">
        <f>'5.mell'!$O$42</f>
        <v>31610</v>
      </c>
      <c r="G10" s="1506">
        <f>'5.mell'!$O$43</f>
        <v>29807</v>
      </c>
      <c r="H10" s="1507">
        <f t="shared" si="0"/>
        <v>1803</v>
      </c>
      <c r="I10" s="1508">
        <f t="shared" si="1"/>
        <v>1867</v>
      </c>
      <c r="J10" s="1509"/>
    </row>
    <row r="11" spans="1:10" s="10" customFormat="1" ht="15.75" customHeight="1">
      <c r="A11" s="1566" t="s">
        <v>322</v>
      </c>
      <c r="B11" s="1505" t="s">
        <v>996</v>
      </c>
      <c r="C11" s="1506">
        <f>'4.mell '!$C$29+'4.mell '!$E$29+'4.mell '!$J$29+'4.mell '!$K$29</f>
        <v>6490</v>
      </c>
      <c r="D11" s="1506">
        <f>'4.mell '!$C$30+'4.mell '!$E$30+'4.mell '!$J$30+'4.mell '!$K$30</f>
        <v>6602</v>
      </c>
      <c r="E11" s="1506">
        <f>D11-C11</f>
        <v>112</v>
      </c>
      <c r="F11" s="1506">
        <f>'5.mell'!$O$54</f>
        <v>25385</v>
      </c>
      <c r="G11" s="1506">
        <f>'5.mell'!$O$55</f>
        <v>23875</v>
      </c>
      <c r="H11" s="1507">
        <f t="shared" si="0"/>
        <v>1510</v>
      </c>
      <c r="I11" s="1508">
        <f t="shared" si="1"/>
        <v>1622</v>
      </c>
      <c r="J11" s="1509"/>
    </row>
    <row r="12" spans="1:10" s="10" customFormat="1" ht="13.5" customHeight="1" thickBot="1">
      <c r="A12" s="1566" t="s">
        <v>323</v>
      </c>
      <c r="B12" s="1505" t="s">
        <v>780</v>
      </c>
      <c r="C12" s="1511">
        <f>'4.mell '!$C$38+'4.mell '!$J$38+'4.mell '!$K$38</f>
        <v>66093</v>
      </c>
      <c r="D12" s="1506">
        <f>'4.mell '!C39+'4.mell '!J39+'4.mell '!K39</f>
        <v>72262</v>
      </c>
      <c r="E12" s="1506">
        <f>D12-C12-('4.mell '!I38-'4.mell '!I39)</f>
        <v>5762</v>
      </c>
      <c r="F12" s="1506">
        <f>'5.mell'!$O$146</f>
        <v>357476</v>
      </c>
      <c r="G12" s="1506">
        <f>'5.mell'!$O$147</f>
        <v>318292</v>
      </c>
      <c r="H12" s="1507">
        <f t="shared" si="0"/>
        <v>39184</v>
      </c>
      <c r="I12" s="1508">
        <f t="shared" si="1"/>
        <v>44946</v>
      </c>
      <c r="J12" s="1509"/>
    </row>
    <row r="13" spans="1:10" s="10" customFormat="1" ht="16.5" customHeight="1" thickBot="1">
      <c r="A13" s="2138" t="s">
        <v>374</v>
      </c>
      <c r="B13" s="2139"/>
      <c r="C13" s="1512">
        <f aca="true" t="shared" si="2" ref="C13:H13">SUM(C7:C12)</f>
        <v>122124</v>
      </c>
      <c r="D13" s="1512">
        <f t="shared" si="2"/>
        <v>130193</v>
      </c>
      <c r="E13" s="1512">
        <f t="shared" si="2"/>
        <v>9170</v>
      </c>
      <c r="F13" s="1512">
        <f t="shared" si="2"/>
        <v>610734</v>
      </c>
      <c r="G13" s="1512">
        <f t="shared" si="2"/>
        <v>559061</v>
      </c>
      <c r="H13" s="1512">
        <f t="shared" si="2"/>
        <v>51673</v>
      </c>
      <c r="I13" s="1513">
        <f t="shared" si="1"/>
        <v>60843</v>
      </c>
      <c r="J13" s="1509"/>
    </row>
    <row r="14" spans="1:10" s="1499" customFormat="1" ht="6" customHeight="1">
      <c r="A14" s="2134"/>
      <c r="B14" s="2135"/>
      <c r="C14" s="1514"/>
      <c r="D14" s="1514"/>
      <c r="E14" s="1514"/>
      <c r="F14" s="1514"/>
      <c r="G14" s="1514"/>
      <c r="H14" s="1515"/>
      <c r="I14" s="1516"/>
      <c r="J14" s="1509"/>
    </row>
    <row r="15" spans="1:10" s="1499" customFormat="1" ht="12.75" customHeight="1" thickBot="1">
      <c r="A15" s="2136" t="s">
        <v>369</v>
      </c>
      <c r="B15" s="2137"/>
      <c r="C15" s="1517">
        <f>'3.mell'!F552-1078</f>
        <v>3933164</v>
      </c>
      <c r="D15" s="1517">
        <f>'3.mell'!F553-135514</f>
        <v>2440067</v>
      </c>
      <c r="E15" s="1517">
        <f>D15-C15</f>
        <v>-1493097</v>
      </c>
      <c r="F15" s="1517">
        <f>'5.mell'!$O$602+'5.mell'!$O$615+'5.mell'!$O$623+'5.mell'!$O$619</f>
        <v>3444554</v>
      </c>
      <c r="G15" s="1517">
        <f>'5.mell'!$O$603+'5.mell'!$O$616+'5.mell'!$O$620+'5.mell'!$O$624</f>
        <v>1980043</v>
      </c>
      <c r="H15" s="1518">
        <f>F15-G15-1101</f>
        <v>1463410</v>
      </c>
      <c r="I15" s="1519">
        <f>E15+H15</f>
        <v>-29687</v>
      </c>
      <c r="J15" s="1509"/>
    </row>
    <row r="16" spans="1:10" s="1499" customFormat="1" ht="7.5" customHeight="1" thickBot="1">
      <c r="A16" s="1520"/>
      <c r="B16" s="1520"/>
      <c r="C16" s="1521"/>
      <c r="D16" s="1521"/>
      <c r="E16" s="1521"/>
      <c r="F16" s="1521"/>
      <c r="G16" s="1521"/>
      <c r="H16" s="1521"/>
      <c r="I16" s="1521"/>
      <c r="J16" s="1509"/>
    </row>
    <row r="17" spans="1:10" s="1499" customFormat="1" ht="12" customHeight="1" thickBot="1">
      <c r="A17" s="2132" t="s">
        <v>337</v>
      </c>
      <c r="B17" s="2133"/>
      <c r="C17" s="1522">
        <f aca="true" t="shared" si="3" ref="C17:I17">C13+C15</f>
        <v>4055288</v>
      </c>
      <c r="D17" s="1522">
        <f>D13+D15</f>
        <v>2570260</v>
      </c>
      <c r="E17" s="1522">
        <f t="shared" si="3"/>
        <v>-1483927</v>
      </c>
      <c r="F17" s="1522">
        <f t="shared" si="3"/>
        <v>4055288</v>
      </c>
      <c r="G17" s="1522">
        <f t="shared" si="3"/>
        <v>2539104</v>
      </c>
      <c r="H17" s="1522">
        <f t="shared" si="3"/>
        <v>1515083</v>
      </c>
      <c r="I17" s="1522">
        <f t="shared" si="3"/>
        <v>31156</v>
      </c>
      <c r="J17" s="1509"/>
    </row>
    <row r="18" spans="1:10" s="1499" customFormat="1" ht="7.5" customHeight="1">
      <c r="A18" s="27"/>
      <c r="B18" s="27"/>
      <c r="C18" s="27"/>
      <c r="D18" s="27"/>
      <c r="E18" s="27"/>
      <c r="F18" s="27"/>
      <c r="G18" s="27"/>
      <c r="H18" s="27"/>
      <c r="I18" s="27" t="s">
        <v>446</v>
      </c>
      <c r="J18" s="27"/>
    </row>
    <row r="19" spans="2:9" s="27" customFormat="1" ht="14.25" customHeight="1">
      <c r="B19" s="1523" t="s">
        <v>943</v>
      </c>
      <c r="C19" s="2146">
        <v>-11431</v>
      </c>
      <c r="D19" s="2147"/>
      <c r="E19" s="2148"/>
      <c r="F19" s="2146">
        <v>-12701</v>
      </c>
      <c r="G19" s="2147"/>
      <c r="H19" s="2148"/>
      <c r="I19" s="37">
        <f>C19-F19</f>
        <v>1270</v>
      </c>
    </row>
    <row r="20" spans="1:9" s="1524" customFormat="1" ht="14.25" customHeight="1">
      <c r="A20" s="27"/>
      <c r="B20" s="1526" t="s">
        <v>815</v>
      </c>
      <c r="C20" s="2151">
        <f>D17+C19</f>
        <v>2558829</v>
      </c>
      <c r="D20" s="2152"/>
      <c r="E20" s="2153"/>
      <c r="F20" s="2151">
        <f>G17+F19</f>
        <v>2526403</v>
      </c>
      <c r="G20" s="2152"/>
      <c r="H20" s="2153"/>
      <c r="I20" s="1527">
        <f>C20-F20</f>
        <v>32426</v>
      </c>
    </row>
    <row r="21" spans="2:5" s="27" customFormat="1" ht="14.25" customHeight="1">
      <c r="B21" s="1523" t="s">
        <v>944</v>
      </c>
      <c r="C21" s="2146">
        <v>135514</v>
      </c>
      <c r="D21" s="2147"/>
      <c r="E21" s="2148"/>
    </row>
    <row r="22" spans="1:6" s="1524" customFormat="1" ht="14.25" customHeight="1">
      <c r="A22" s="27"/>
      <c r="B22" s="1526" t="s">
        <v>815</v>
      </c>
      <c r="C22" s="2151">
        <f>C20+C21</f>
        <v>2694343</v>
      </c>
      <c r="D22" s="2152"/>
      <c r="E22" s="2153"/>
      <c r="F22" s="1537"/>
    </row>
    <row r="23" s="27" customFormat="1" ht="6.75" customHeight="1"/>
    <row r="24" spans="2:3" s="27" customFormat="1" ht="14.25" customHeight="1">
      <c r="B24" s="1523" t="s">
        <v>263</v>
      </c>
      <c r="C24" s="37">
        <v>1112677</v>
      </c>
    </row>
    <row r="25" spans="2:3" s="27" customFormat="1" ht="14.25" customHeight="1">
      <c r="B25" s="1523" t="s">
        <v>262</v>
      </c>
      <c r="C25" s="37">
        <f>I20</f>
        <v>32426</v>
      </c>
    </row>
    <row r="26" spans="2:9" s="1499" customFormat="1" ht="14.25" customHeight="1">
      <c r="B26" s="1526" t="s">
        <v>264</v>
      </c>
      <c r="C26" s="1527">
        <f>C24+C25</f>
        <v>1145103</v>
      </c>
      <c r="D26" s="27"/>
      <c r="E26" s="27"/>
      <c r="F26" s="27"/>
      <c r="G26" s="27"/>
      <c r="H26" s="27"/>
      <c r="I26" s="27"/>
    </row>
    <row r="27" spans="2:9" ht="14.25" customHeight="1">
      <c r="B27" s="1528" t="s">
        <v>265</v>
      </c>
      <c r="C27" s="37">
        <f>C28+C29</f>
        <v>1015815</v>
      </c>
      <c r="D27" s="27"/>
      <c r="E27" s="27"/>
      <c r="F27" s="27"/>
      <c r="G27" s="27"/>
      <c r="H27" s="27"/>
      <c r="I27" s="27"/>
    </row>
    <row r="28" spans="2:9" s="1525" customFormat="1" ht="14.25" customHeight="1">
      <c r="B28" s="1529" t="s">
        <v>266</v>
      </c>
      <c r="C28" s="1530">
        <f>22415</f>
        <v>22415</v>
      </c>
      <c r="D28" s="27"/>
      <c r="E28" s="27"/>
      <c r="F28" s="27"/>
      <c r="G28" s="27"/>
      <c r="H28" s="27"/>
      <c r="I28" s="27"/>
    </row>
    <row r="29" spans="2:9" s="1525" customFormat="1" ht="14.25" customHeight="1">
      <c r="B29" s="1529" t="s">
        <v>267</v>
      </c>
      <c r="C29" s="1530">
        <v>993400</v>
      </c>
      <c r="D29" s="2140" t="s">
        <v>946</v>
      </c>
      <c r="E29" s="2141"/>
      <c r="F29" s="27"/>
      <c r="G29" s="27"/>
      <c r="H29" s="27"/>
      <c r="I29" s="27"/>
    </row>
    <row r="30" spans="2:9" ht="14.25" customHeight="1">
      <c r="B30" s="1528" t="s">
        <v>268</v>
      </c>
      <c r="C30" s="37">
        <f>C31+C32</f>
        <v>129288</v>
      </c>
      <c r="D30" s="2144" t="s">
        <v>370</v>
      </c>
      <c r="E30" s="2145"/>
      <c r="F30" s="1531">
        <f>22984+174+308+181+498+934+412</f>
        <v>25491</v>
      </c>
      <c r="G30" s="27"/>
      <c r="H30" s="27"/>
      <c r="I30" s="27"/>
    </row>
    <row r="31" spans="2:9" s="1525" customFormat="1" ht="14.25" customHeight="1">
      <c r="B31" s="1529" t="s">
        <v>266</v>
      </c>
      <c r="C31" s="1530">
        <v>129288</v>
      </c>
      <c r="D31" s="2144" t="s">
        <v>947</v>
      </c>
      <c r="E31" s="2145"/>
      <c r="F31" s="1531">
        <v>544</v>
      </c>
      <c r="G31" s="27"/>
      <c r="H31" s="27"/>
      <c r="I31" s="27"/>
    </row>
    <row r="32" spans="2:9" s="1525" customFormat="1" ht="14.25" customHeight="1">
      <c r="B32" s="1529" t="s">
        <v>267</v>
      </c>
      <c r="C32" s="1530">
        <v>0</v>
      </c>
      <c r="D32" s="2142" t="s">
        <v>949</v>
      </c>
      <c r="E32" s="2143"/>
      <c r="F32" s="1537">
        <f>C30+F30+F31</f>
        <v>155323</v>
      </c>
      <c r="G32" s="27"/>
      <c r="H32" s="27"/>
      <c r="I32" s="27"/>
    </row>
    <row r="33" spans="4:9" ht="22.5">
      <c r="D33" s="1694" t="s">
        <v>393</v>
      </c>
      <c r="E33" s="1695">
        <f>F32+C27</f>
        <v>1171138</v>
      </c>
      <c r="F33" s="1531"/>
      <c r="G33" s="27"/>
      <c r="H33" s="27"/>
      <c r="I33" s="27"/>
    </row>
    <row r="34" spans="4:9" ht="12.75">
      <c r="D34" s="1692" t="s">
        <v>394</v>
      </c>
      <c r="E34" s="1693">
        <f>F32+C28</f>
        <v>177738</v>
      </c>
      <c r="F34" s="27"/>
      <c r="G34" s="27"/>
      <c r="H34" s="27"/>
      <c r="I34" s="27"/>
    </row>
    <row r="35" spans="4:9" ht="12.75">
      <c r="D35" s="1692" t="s">
        <v>395</v>
      </c>
      <c r="E35" s="1693">
        <f>C29</f>
        <v>993400</v>
      </c>
      <c r="F35" s="27"/>
      <c r="G35" s="27"/>
      <c r="H35" s="1531"/>
      <c r="I35" s="27"/>
    </row>
    <row r="36" spans="4:9" ht="12.75">
      <c r="D36" s="27"/>
      <c r="E36" s="27"/>
      <c r="F36" s="27"/>
      <c r="G36" s="27"/>
      <c r="H36" s="1531"/>
      <c r="I36" s="27"/>
    </row>
    <row r="37" ht="12.75">
      <c r="H37" s="1498"/>
    </row>
    <row r="38" ht="12.75">
      <c r="H38" s="1498"/>
    </row>
    <row r="41" ht="12.75">
      <c r="F41" s="1498"/>
    </row>
  </sheetData>
  <sheetProtection/>
  <mergeCells count="23">
    <mergeCell ref="G5:G6"/>
    <mergeCell ref="H5:H6"/>
    <mergeCell ref="C22:E22"/>
    <mergeCell ref="F19:H19"/>
    <mergeCell ref="F20:H20"/>
    <mergeCell ref="C19:E19"/>
    <mergeCell ref="C20:E20"/>
    <mergeCell ref="A13:B13"/>
    <mergeCell ref="D29:E29"/>
    <mergeCell ref="D32:E32"/>
    <mergeCell ref="D31:E31"/>
    <mergeCell ref="D30:E30"/>
    <mergeCell ref="C21:E21"/>
    <mergeCell ref="I4:I6"/>
    <mergeCell ref="C4:E4"/>
    <mergeCell ref="F5:F6"/>
    <mergeCell ref="F4:H4"/>
    <mergeCell ref="A17:B17"/>
    <mergeCell ref="C5:C6"/>
    <mergeCell ref="D5:D6"/>
    <mergeCell ref="E5:E6"/>
    <mergeCell ref="A14:B14"/>
    <mergeCell ref="A15:B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zoomScaleSheetLayoutView="100" zoomScalePageLayoutView="0" workbookViewId="0" topLeftCell="A1">
      <selection activeCell="F21" sqref="F21"/>
    </sheetView>
  </sheetViews>
  <sheetFormatPr defaultColWidth="9.00390625" defaultRowHeight="12.75" customHeight="1"/>
  <cols>
    <col min="1" max="1" width="4.00390625" style="969" customWidth="1"/>
    <col min="2" max="2" width="3.75390625" style="1576" customWidth="1"/>
    <col min="3" max="3" width="35.00390625" style="970" customWidth="1"/>
    <col min="4" max="4" width="8.125" style="970" customWidth="1"/>
    <col min="5" max="5" width="8.375" style="970" customWidth="1"/>
    <col min="6" max="6" width="8.00390625" style="970" customWidth="1"/>
    <col min="7" max="7" width="6.625" style="970" customWidth="1"/>
    <col min="8" max="8" width="7.875" style="970" bestFit="1" customWidth="1"/>
    <col min="9" max="9" width="7.875" style="970" customWidth="1"/>
    <col min="10" max="10" width="9.375" style="971" bestFit="1" customWidth="1"/>
    <col min="11" max="11" width="8.625" style="970" bestFit="1" customWidth="1"/>
    <col min="12" max="12" width="9.25390625" style="970" customWidth="1"/>
    <col min="13" max="13" width="7.625" style="970" customWidth="1"/>
    <col min="14" max="14" width="9.75390625" style="971" customWidth="1"/>
    <col min="15" max="16384" width="9.125" style="23" customWidth="1"/>
  </cols>
  <sheetData>
    <row r="1" ht="12.75" customHeight="1">
      <c r="K1" s="972"/>
    </row>
    <row r="4" spans="3:14" ht="21" customHeight="1" thickBot="1">
      <c r="C4" s="481" t="s">
        <v>1142</v>
      </c>
      <c r="N4" s="971" t="s">
        <v>301</v>
      </c>
    </row>
    <row r="5" spans="1:14" s="976" customFormat="1" ht="19.5" customHeight="1">
      <c r="A5" s="2165"/>
      <c r="B5" s="2166"/>
      <c r="C5" s="973"/>
      <c r="D5" s="973" t="s">
        <v>426</v>
      </c>
      <c r="E5" s="973" t="s">
        <v>1000</v>
      </c>
      <c r="F5" s="973" t="s">
        <v>427</v>
      </c>
      <c r="G5" s="973" t="s">
        <v>428</v>
      </c>
      <c r="H5" s="2159" t="s">
        <v>548</v>
      </c>
      <c r="I5" s="2160"/>
      <c r="J5" s="973" t="s">
        <v>335</v>
      </c>
      <c r="K5" s="973" t="s">
        <v>429</v>
      </c>
      <c r="L5" s="974" t="s">
        <v>1001</v>
      </c>
      <c r="M5" s="973"/>
      <c r="N5" s="975" t="s">
        <v>342</v>
      </c>
    </row>
    <row r="6" spans="1:14" s="976" customFormat="1" ht="12.75" customHeight="1">
      <c r="A6" s="2167" t="s">
        <v>404</v>
      </c>
      <c r="B6" s="2168"/>
      <c r="C6" s="977" t="s">
        <v>1047</v>
      </c>
      <c r="D6" s="977" t="s">
        <v>549</v>
      </c>
      <c r="E6" s="977" t="s">
        <v>993</v>
      </c>
      <c r="F6" s="977" t="s">
        <v>433</v>
      </c>
      <c r="G6" s="977" t="s">
        <v>434</v>
      </c>
      <c r="H6" s="2161" t="s">
        <v>988</v>
      </c>
      <c r="I6" s="2157" t="s">
        <v>1002</v>
      </c>
      <c r="J6" s="977" t="s">
        <v>435</v>
      </c>
      <c r="K6" s="977" t="s">
        <v>436</v>
      </c>
      <c r="L6" s="977" t="s">
        <v>435</v>
      </c>
      <c r="M6" s="977" t="s">
        <v>333</v>
      </c>
      <c r="N6" s="978" t="s">
        <v>315</v>
      </c>
    </row>
    <row r="7" spans="1:14" s="976" customFormat="1" ht="20.25" customHeight="1" thickBot="1">
      <c r="A7" s="2169"/>
      <c r="B7" s="2170"/>
      <c r="C7" s="979"/>
      <c r="D7" s="979"/>
      <c r="E7" s="979" t="s">
        <v>994</v>
      </c>
      <c r="F7" s="979" t="s">
        <v>446</v>
      </c>
      <c r="G7" s="979" t="s">
        <v>550</v>
      </c>
      <c r="H7" s="2162"/>
      <c r="I7" s="2158"/>
      <c r="J7" s="979" t="s">
        <v>315</v>
      </c>
      <c r="K7" s="979" t="s">
        <v>439</v>
      </c>
      <c r="L7" s="979" t="s">
        <v>446</v>
      </c>
      <c r="M7" s="979"/>
      <c r="N7" s="980"/>
    </row>
    <row r="8" spans="1:14" ht="11.25" customHeight="1">
      <c r="A8" s="981"/>
      <c r="B8" s="1577">
        <v>1</v>
      </c>
      <c r="C8" s="982" t="s">
        <v>596</v>
      </c>
      <c r="D8" s="983">
        <v>318</v>
      </c>
      <c r="E8" s="984">
        <v>95</v>
      </c>
      <c r="F8" s="983">
        <v>201</v>
      </c>
      <c r="G8" s="984"/>
      <c r="H8" s="984"/>
      <c r="I8" s="984"/>
      <c r="J8" s="985">
        <f aca="true" t="shared" si="0" ref="J8:J13">SUM(D8:I8)</f>
        <v>614</v>
      </c>
      <c r="K8" s="984"/>
      <c r="L8" s="984"/>
      <c r="M8" s="984"/>
      <c r="N8" s="986">
        <f>SUM(J8:M8)</f>
        <v>614</v>
      </c>
    </row>
    <row r="9" spans="1:14" ht="11.25" customHeight="1">
      <c r="A9" s="981"/>
      <c r="B9" s="1577">
        <v>2</v>
      </c>
      <c r="C9" s="982" t="s">
        <v>472</v>
      </c>
      <c r="D9" s="984">
        <v>213</v>
      </c>
      <c r="E9" s="984">
        <v>58</v>
      </c>
      <c r="F9" s="983">
        <v>304</v>
      </c>
      <c r="G9" s="984"/>
      <c r="H9" s="984"/>
      <c r="I9" s="984"/>
      <c r="J9" s="985">
        <f t="shared" si="0"/>
        <v>575</v>
      </c>
      <c r="K9" s="984">
        <v>115</v>
      </c>
      <c r="L9" s="984"/>
      <c r="M9" s="984"/>
      <c r="N9" s="986">
        <f>SUM(J9:M9)</f>
        <v>690</v>
      </c>
    </row>
    <row r="10" spans="1:14" ht="11.25" customHeight="1">
      <c r="A10" s="981"/>
      <c r="B10" s="1577">
        <v>3</v>
      </c>
      <c r="C10" s="982" t="s">
        <v>828</v>
      </c>
      <c r="D10" s="984">
        <v>90</v>
      </c>
      <c r="E10" s="984">
        <v>27</v>
      </c>
      <c r="F10" s="983">
        <v>839</v>
      </c>
      <c r="G10" s="984"/>
      <c r="H10" s="984"/>
      <c r="I10" s="984"/>
      <c r="J10" s="985">
        <f t="shared" si="0"/>
        <v>956</v>
      </c>
      <c r="K10" s="984"/>
      <c r="L10" s="984"/>
      <c r="M10" s="984"/>
      <c r="N10" s="986">
        <f>SUM(J10:M10)</f>
        <v>956</v>
      </c>
    </row>
    <row r="11" spans="1:14" ht="11.25" customHeight="1">
      <c r="A11" s="981"/>
      <c r="B11" s="1577">
        <v>4</v>
      </c>
      <c r="C11" s="982" t="s">
        <v>469</v>
      </c>
      <c r="D11" s="984">
        <v>96</v>
      </c>
      <c r="E11" s="984">
        <v>29</v>
      </c>
      <c r="F11" s="983">
        <v>992</v>
      </c>
      <c r="G11" s="984"/>
      <c r="H11" s="984"/>
      <c r="I11" s="984"/>
      <c r="J11" s="985">
        <f t="shared" si="0"/>
        <v>1117</v>
      </c>
      <c r="K11" s="984"/>
      <c r="L11" s="984"/>
      <c r="M11" s="984"/>
      <c r="N11" s="986">
        <f>SUM(J11:M11)</f>
        <v>1117</v>
      </c>
    </row>
    <row r="12" spans="1:14" ht="11.25" customHeight="1">
      <c r="A12" s="981"/>
      <c r="B12" s="1577">
        <v>5</v>
      </c>
      <c r="C12" s="982" t="s">
        <v>471</v>
      </c>
      <c r="D12" s="984">
        <v>191</v>
      </c>
      <c r="E12" s="984">
        <v>45</v>
      </c>
      <c r="F12" s="983">
        <v>832</v>
      </c>
      <c r="G12" s="984"/>
      <c r="H12" s="984"/>
      <c r="I12" s="984"/>
      <c r="J12" s="985">
        <f t="shared" si="0"/>
        <v>1068</v>
      </c>
      <c r="K12" s="984"/>
      <c r="L12" s="984"/>
      <c r="M12" s="984"/>
      <c r="N12" s="986">
        <f>SUM(J12:M12)</f>
        <v>1068</v>
      </c>
    </row>
    <row r="13" spans="1:14" ht="18.75" customHeight="1">
      <c r="A13" s="987"/>
      <c r="B13" s="1578"/>
      <c r="C13" s="988" t="s">
        <v>144</v>
      </c>
      <c r="D13" s="989">
        <f aca="true" t="shared" si="1" ref="D13:I13">SUM(D8:D12)</f>
        <v>908</v>
      </c>
      <c r="E13" s="989">
        <f t="shared" si="1"/>
        <v>254</v>
      </c>
      <c r="F13" s="989">
        <f t="shared" si="1"/>
        <v>3168</v>
      </c>
      <c r="G13" s="989">
        <f t="shared" si="1"/>
        <v>0</v>
      </c>
      <c r="H13" s="989">
        <f t="shared" si="1"/>
        <v>0</v>
      </c>
      <c r="I13" s="989">
        <f t="shared" si="1"/>
        <v>0</v>
      </c>
      <c r="J13" s="985">
        <f t="shared" si="0"/>
        <v>4330</v>
      </c>
      <c r="K13" s="989">
        <v>115</v>
      </c>
      <c r="L13" s="989">
        <f>SUM(L8:L12)</f>
        <v>0</v>
      </c>
      <c r="M13" s="989">
        <f>SUM(M8:M12)</f>
        <v>0</v>
      </c>
      <c r="N13" s="990">
        <f>SUM(N8:N12)</f>
        <v>4445</v>
      </c>
    </row>
    <row r="14" spans="1:14" ht="33" customHeight="1" thickBot="1">
      <c r="A14" s="987"/>
      <c r="B14" s="1578"/>
      <c r="C14" s="988" t="s">
        <v>401</v>
      </c>
      <c r="D14" s="989"/>
      <c r="E14" s="989"/>
      <c r="F14" s="989"/>
      <c r="G14" s="989"/>
      <c r="H14" s="989"/>
      <c r="I14" s="989">
        <v>4187</v>
      </c>
      <c r="J14" s="985">
        <v>4187</v>
      </c>
      <c r="K14" s="989"/>
      <c r="L14" s="989"/>
      <c r="M14" s="989"/>
      <c r="N14" s="990">
        <f>J14</f>
        <v>4187</v>
      </c>
    </row>
    <row r="15" spans="1:14" ht="12.75" customHeight="1" thickBot="1">
      <c r="A15" s="2163" t="s">
        <v>403</v>
      </c>
      <c r="B15" s="2164"/>
      <c r="C15" s="2164"/>
      <c r="D15" s="992">
        <f aca="true" t="shared" si="2" ref="D15:I15">SUM(D13:D14)</f>
        <v>908</v>
      </c>
      <c r="E15" s="992">
        <f t="shared" si="2"/>
        <v>254</v>
      </c>
      <c r="F15" s="992">
        <f t="shared" si="2"/>
        <v>3168</v>
      </c>
      <c r="G15" s="992">
        <f t="shared" si="2"/>
        <v>0</v>
      </c>
      <c r="H15" s="992">
        <f t="shared" si="2"/>
        <v>0</v>
      </c>
      <c r="I15" s="992">
        <f t="shared" si="2"/>
        <v>4187</v>
      </c>
      <c r="J15" s="993">
        <f>J13+J14</f>
        <v>8517</v>
      </c>
      <c r="K15" s="992">
        <f>SUM(K13:K14)</f>
        <v>115</v>
      </c>
      <c r="L15" s="992">
        <f>SUM(L13:L14)</f>
        <v>0</v>
      </c>
      <c r="M15" s="992">
        <f>SUM(M13:M14)</f>
        <v>0</v>
      </c>
      <c r="N15" s="994">
        <f>N13+N14</f>
        <v>8632</v>
      </c>
    </row>
    <row r="16" spans="1:14" ht="12.75" customHeight="1">
      <c r="A16" s="995" t="s">
        <v>765</v>
      </c>
      <c r="B16" s="1579"/>
      <c r="C16" s="996" t="s">
        <v>371</v>
      </c>
      <c r="D16" s="997">
        <f aca="true" t="shared" si="3" ref="D16:I16">D17+D18</f>
        <v>0</v>
      </c>
      <c r="E16" s="997">
        <f t="shared" si="3"/>
        <v>0</v>
      </c>
      <c r="F16" s="997">
        <f>F17+F18</f>
        <v>2290</v>
      </c>
      <c r="G16" s="997">
        <f t="shared" si="3"/>
        <v>0</v>
      </c>
      <c r="H16" s="997">
        <f t="shared" si="3"/>
        <v>0</v>
      </c>
      <c r="I16" s="997">
        <f t="shared" si="3"/>
        <v>0</v>
      </c>
      <c r="J16" s="997">
        <f>SUM(D16:I16)</f>
        <v>2290</v>
      </c>
      <c r="K16" s="997">
        <f>SUM(K17:K17)</f>
        <v>2427</v>
      </c>
      <c r="L16" s="997">
        <f>SUM(L17:L17)</f>
        <v>0</v>
      </c>
      <c r="M16" s="997">
        <f>SUM(M17:M17)</f>
        <v>0</v>
      </c>
      <c r="N16" s="998">
        <f>SUM(J16:M16)</f>
        <v>4717</v>
      </c>
    </row>
    <row r="17" spans="1:14" ht="11.25" customHeight="1">
      <c r="A17" s="999"/>
      <c r="B17" s="1000" t="s">
        <v>316</v>
      </c>
      <c r="C17" s="1001" t="s">
        <v>489</v>
      </c>
      <c r="D17" s="989">
        <v>0</v>
      </c>
      <c r="E17" s="989"/>
      <c r="F17" s="989">
        <f>2069+100</f>
        <v>2169</v>
      </c>
      <c r="G17" s="989"/>
      <c r="H17" s="989"/>
      <c r="I17" s="989"/>
      <c r="J17" s="985">
        <f>SUM(D17:I17)</f>
        <v>2169</v>
      </c>
      <c r="K17" s="989">
        <v>2427</v>
      </c>
      <c r="L17" s="989">
        <v>0</v>
      </c>
      <c r="M17" s="989"/>
      <c r="N17" s="1002">
        <f>SUM(J17:M17)</f>
        <v>4596</v>
      </c>
    </row>
    <row r="18" spans="1:14" ht="22.5" customHeight="1" thickBot="1">
      <c r="A18" s="1003"/>
      <c r="B18" s="1000" t="s">
        <v>318</v>
      </c>
      <c r="C18" s="1569" t="s">
        <v>799</v>
      </c>
      <c r="D18" s="1004">
        <v>0</v>
      </c>
      <c r="E18" s="1004">
        <v>0</v>
      </c>
      <c r="F18" s="1004">
        <v>121</v>
      </c>
      <c r="G18" s="1004"/>
      <c r="H18" s="1004"/>
      <c r="I18" s="1004"/>
      <c r="J18" s="1005">
        <f>F18+E18+D18</f>
        <v>121</v>
      </c>
      <c r="K18" s="1004"/>
      <c r="L18" s="1004"/>
      <c r="M18" s="1004"/>
      <c r="N18" s="1006">
        <f>SUM(J18:M18)</f>
        <v>121</v>
      </c>
    </row>
    <row r="19" spans="1:14" ht="12.75" customHeight="1">
      <c r="A19" s="995" t="s">
        <v>766</v>
      </c>
      <c r="B19" s="1007"/>
      <c r="C19" s="1008" t="s">
        <v>372</v>
      </c>
      <c r="D19" s="997"/>
      <c r="E19" s="997"/>
      <c r="F19" s="997"/>
      <c r="G19" s="997"/>
      <c r="H19" s="997"/>
      <c r="I19" s="997"/>
      <c r="J19" s="997"/>
      <c r="K19" s="997"/>
      <c r="L19" s="997"/>
      <c r="M19" s="997"/>
      <c r="N19" s="1009"/>
    </row>
    <row r="20" spans="1:14" ht="12.75" customHeight="1">
      <c r="A20" s="1010"/>
      <c r="B20" s="1540">
        <v>1</v>
      </c>
      <c r="C20" s="1011" t="s">
        <v>580</v>
      </c>
      <c r="D20" s="989"/>
      <c r="E20" s="989"/>
      <c r="F20" s="989">
        <v>2102</v>
      </c>
      <c r="G20" s="989"/>
      <c r="H20" s="989"/>
      <c r="I20" s="989"/>
      <c r="J20" s="985">
        <f>SUM(D20:I20)</f>
        <v>2102</v>
      </c>
      <c r="K20" s="989"/>
      <c r="L20" s="989"/>
      <c r="M20" s="989"/>
      <c r="N20" s="990">
        <f>SUM(J20:M20)</f>
        <v>2102</v>
      </c>
    </row>
    <row r="21" spans="1:14" ht="12.75" customHeight="1">
      <c r="A21" s="1010"/>
      <c r="B21" s="1000">
        <v>2</v>
      </c>
      <c r="C21" s="991" t="s">
        <v>565</v>
      </c>
      <c r="D21" s="989"/>
      <c r="E21" s="989"/>
      <c r="F21" s="989">
        <f>'5.mell'!G370-'5.mell'!G371</f>
        <v>2496</v>
      </c>
      <c r="G21" s="989"/>
      <c r="H21" s="989"/>
      <c r="I21" s="989"/>
      <c r="J21" s="985">
        <f aca="true" t="shared" si="4" ref="J21:J27">SUM(D21:I21)</f>
        <v>2496</v>
      </c>
      <c r="K21" s="989"/>
      <c r="L21" s="989"/>
      <c r="M21" s="989"/>
      <c r="N21" s="990">
        <f aca="true" t="shared" si="5" ref="N21:N27">SUM(J21:M21)</f>
        <v>2496</v>
      </c>
    </row>
    <row r="22" spans="1:14" ht="11.25" customHeight="1">
      <c r="A22" s="1010"/>
      <c r="B22" s="1540">
        <v>3</v>
      </c>
      <c r="C22" s="1568" t="s">
        <v>564</v>
      </c>
      <c r="D22" s="1570"/>
      <c r="E22" s="1570"/>
      <c r="F22" s="991">
        <f>'5.mell'!G374-'5.mell'!G375</f>
        <v>5934</v>
      </c>
      <c r="G22" s="989"/>
      <c r="H22" s="989"/>
      <c r="I22" s="989"/>
      <c r="J22" s="985">
        <f t="shared" si="4"/>
        <v>5934</v>
      </c>
      <c r="K22" s="989"/>
      <c r="L22" s="989"/>
      <c r="M22" s="989"/>
      <c r="N22" s="990">
        <f t="shared" si="5"/>
        <v>5934</v>
      </c>
    </row>
    <row r="23" spans="1:14" s="24" customFormat="1" ht="13.5" customHeight="1">
      <c r="A23" s="1010"/>
      <c r="B23" s="1000">
        <v>4</v>
      </c>
      <c r="C23" s="1572" t="s">
        <v>1122</v>
      </c>
      <c r="D23" s="991"/>
      <c r="E23" s="1571"/>
      <c r="F23" s="989" t="s">
        <v>446</v>
      </c>
      <c r="G23" s="989"/>
      <c r="H23" s="989"/>
      <c r="I23" s="989">
        <f>'5.mell'!J386-'5.mell'!J387+531</f>
        <v>655</v>
      </c>
      <c r="J23" s="985">
        <f t="shared" si="4"/>
        <v>655</v>
      </c>
      <c r="K23" s="989"/>
      <c r="L23" s="989"/>
      <c r="M23" s="989"/>
      <c r="N23" s="990">
        <f t="shared" si="5"/>
        <v>655</v>
      </c>
    </row>
    <row r="24" spans="1:14" s="24" customFormat="1" ht="11.25" customHeight="1">
      <c r="A24" s="1010"/>
      <c r="B24" s="1540">
        <v>5</v>
      </c>
      <c r="C24" s="991" t="s">
        <v>522</v>
      </c>
      <c r="D24" s="989"/>
      <c r="E24" s="989"/>
      <c r="F24" s="989">
        <v>500</v>
      </c>
      <c r="G24" s="989"/>
      <c r="H24" s="989"/>
      <c r="I24" s="989"/>
      <c r="J24" s="985">
        <f t="shared" si="4"/>
        <v>500</v>
      </c>
      <c r="K24" s="989"/>
      <c r="L24" s="989"/>
      <c r="M24" s="989"/>
      <c r="N24" s="990">
        <f t="shared" si="5"/>
        <v>500</v>
      </c>
    </row>
    <row r="25" spans="1:14" s="24" customFormat="1" ht="21.75" customHeight="1">
      <c r="A25" s="1010"/>
      <c r="B25" s="1000">
        <v>6</v>
      </c>
      <c r="C25" s="1014" t="s">
        <v>405</v>
      </c>
      <c r="D25" s="1573"/>
      <c r="E25" s="1575"/>
      <c r="F25" s="989">
        <f>'5.mell'!G562-'5.mell'!G563</f>
        <v>882</v>
      </c>
      <c r="G25" s="989"/>
      <c r="H25" s="989"/>
      <c r="I25" s="989"/>
      <c r="J25" s="985">
        <f t="shared" si="4"/>
        <v>882</v>
      </c>
      <c r="K25" s="989"/>
      <c r="L25" s="989"/>
      <c r="M25" s="989"/>
      <c r="N25" s="990">
        <f t="shared" si="5"/>
        <v>882</v>
      </c>
    </row>
    <row r="26" spans="1:14" s="24" customFormat="1" ht="14.25" customHeight="1">
      <c r="A26" s="1010"/>
      <c r="B26" s="1000">
        <v>7</v>
      </c>
      <c r="C26" s="1014" t="s">
        <v>441</v>
      </c>
      <c r="D26" s="1573"/>
      <c r="E26" s="1575"/>
      <c r="F26" s="989">
        <f>343+1566+1138+1302</f>
        <v>4349</v>
      </c>
      <c r="G26" s="989"/>
      <c r="H26" s="989"/>
      <c r="I26" s="989"/>
      <c r="J26" s="985">
        <f t="shared" si="4"/>
        <v>4349</v>
      </c>
      <c r="K26" s="989"/>
      <c r="L26" s="989"/>
      <c r="M26" s="989"/>
      <c r="N26" s="990">
        <f t="shared" si="5"/>
        <v>4349</v>
      </c>
    </row>
    <row r="27" spans="1:14" s="24" customFormat="1" ht="12.75" customHeight="1">
      <c r="A27" s="1010"/>
      <c r="B27" s="1540">
        <v>8</v>
      </c>
      <c r="C27" s="1011" t="s">
        <v>578</v>
      </c>
      <c r="D27" s="989"/>
      <c r="E27" s="989"/>
      <c r="F27" s="989">
        <f>'5.mell'!G286-'5.mell'!G287</f>
        <v>326</v>
      </c>
      <c r="G27" s="989"/>
      <c r="H27" s="989"/>
      <c r="I27" s="989"/>
      <c r="J27" s="985">
        <f t="shared" si="4"/>
        <v>326</v>
      </c>
      <c r="K27" s="989"/>
      <c r="L27" s="989"/>
      <c r="M27" s="989"/>
      <c r="N27" s="990">
        <f t="shared" si="5"/>
        <v>326</v>
      </c>
    </row>
    <row r="28" spans="1:14" ht="22.5" customHeight="1">
      <c r="A28" s="1010"/>
      <c r="B28" s="1000">
        <v>9</v>
      </c>
      <c r="C28" s="1014" t="s">
        <v>694</v>
      </c>
      <c r="D28" s="1573"/>
      <c r="E28" s="1575"/>
      <c r="F28" s="1574"/>
      <c r="G28" s="989"/>
      <c r="H28" s="989">
        <f>'5.mell'!I494-'5.mell'!I495</f>
        <v>483</v>
      </c>
      <c r="I28" s="989"/>
      <c r="J28" s="985">
        <f>SUM(D28:I28)</f>
        <v>483</v>
      </c>
      <c r="K28" s="989"/>
      <c r="L28" s="989"/>
      <c r="M28" s="989"/>
      <c r="N28" s="990">
        <f>SUM(J28:M28)</f>
        <v>483</v>
      </c>
    </row>
    <row r="29" spans="1:14" ht="15" customHeight="1">
      <c r="A29" s="1010"/>
      <c r="B29" s="1000">
        <v>10</v>
      </c>
      <c r="C29" s="1014" t="s">
        <v>1115</v>
      </c>
      <c r="D29" s="989"/>
      <c r="E29" s="989"/>
      <c r="F29" s="991"/>
      <c r="G29" s="989"/>
      <c r="H29" s="989"/>
      <c r="I29" s="989"/>
      <c r="J29" s="985">
        <f aca="true" t="shared" si="6" ref="J29:J61">SUM(D29:I29)</f>
        <v>0</v>
      </c>
      <c r="K29" s="989">
        <v>111000</v>
      </c>
      <c r="L29" s="989"/>
      <c r="M29" s="989">
        <v>300000</v>
      </c>
      <c r="N29" s="990">
        <f aca="true" t="shared" si="7" ref="N29:N61">SUM(J29:M29)</f>
        <v>411000</v>
      </c>
    </row>
    <row r="30" spans="1:14" ht="14.25" customHeight="1">
      <c r="A30" s="1013"/>
      <c r="B30" s="1540">
        <v>11</v>
      </c>
      <c r="C30" s="1011" t="s">
        <v>299</v>
      </c>
      <c r="D30" s="989"/>
      <c r="E30" s="989"/>
      <c r="F30" s="991"/>
      <c r="G30" s="989"/>
      <c r="H30" s="989"/>
      <c r="I30" s="989"/>
      <c r="J30" s="985">
        <f t="shared" si="6"/>
        <v>0</v>
      </c>
      <c r="K30" s="989">
        <f>44377+17590+27953+2000</f>
        <v>91920</v>
      </c>
      <c r="L30" s="989"/>
      <c r="M30" s="989"/>
      <c r="N30" s="990">
        <f t="shared" si="7"/>
        <v>91920</v>
      </c>
    </row>
    <row r="31" spans="1:14" ht="11.25" customHeight="1">
      <c r="A31" s="1013"/>
      <c r="B31" s="1000">
        <v>12</v>
      </c>
      <c r="C31" s="1011" t="s">
        <v>1116</v>
      </c>
      <c r="D31" s="989"/>
      <c r="E31" s="989"/>
      <c r="F31" s="989"/>
      <c r="G31" s="989"/>
      <c r="H31" s="989"/>
      <c r="I31" s="989"/>
      <c r="J31" s="985">
        <f t="shared" si="6"/>
        <v>0</v>
      </c>
      <c r="K31" s="989">
        <v>480</v>
      </c>
      <c r="L31" s="989"/>
      <c r="M31" s="989"/>
      <c r="N31" s="990">
        <f t="shared" si="7"/>
        <v>480</v>
      </c>
    </row>
    <row r="32" spans="1:14" ht="11.25" customHeight="1">
      <c r="A32" s="1013"/>
      <c r="B32" s="1000">
        <v>13</v>
      </c>
      <c r="C32" s="1011" t="s">
        <v>520</v>
      </c>
      <c r="D32" s="989"/>
      <c r="E32" s="989"/>
      <c r="F32" s="989"/>
      <c r="G32" s="989"/>
      <c r="H32" s="989"/>
      <c r="I32" s="989"/>
      <c r="J32" s="985">
        <f t="shared" si="6"/>
        <v>0</v>
      </c>
      <c r="K32" s="989"/>
      <c r="L32" s="989">
        <v>4377</v>
      </c>
      <c r="M32" s="989"/>
      <c r="N32" s="990">
        <f t="shared" si="7"/>
        <v>4377</v>
      </c>
    </row>
    <row r="33" spans="1:14" ht="14.25" customHeight="1">
      <c r="A33" s="1013"/>
      <c r="B33" s="1540">
        <v>14</v>
      </c>
      <c r="C33" s="1541" t="s">
        <v>1117</v>
      </c>
      <c r="D33" s="989"/>
      <c r="E33" s="989"/>
      <c r="F33" s="989"/>
      <c r="G33" s="989"/>
      <c r="H33" s="989"/>
      <c r="I33" s="989"/>
      <c r="J33" s="985">
        <f t="shared" si="6"/>
        <v>0</v>
      </c>
      <c r="K33" s="989"/>
      <c r="L33" s="989">
        <v>1640</v>
      </c>
      <c r="M33" s="989"/>
      <c r="N33" s="990">
        <f t="shared" si="7"/>
        <v>1640</v>
      </c>
    </row>
    <row r="34" spans="1:14" ht="24.75" customHeight="1">
      <c r="A34" s="1013"/>
      <c r="B34" s="1000">
        <v>15</v>
      </c>
      <c r="C34" s="1014" t="s">
        <v>1118</v>
      </c>
      <c r="D34" s="989"/>
      <c r="E34" s="989"/>
      <c r="F34" s="991"/>
      <c r="G34" s="989"/>
      <c r="H34" s="989"/>
      <c r="I34" s="989"/>
      <c r="J34" s="985">
        <f t="shared" si="6"/>
        <v>0</v>
      </c>
      <c r="K34" s="989">
        <v>16</v>
      </c>
      <c r="L34" s="989"/>
      <c r="M34" s="989"/>
      <c r="N34" s="990">
        <f t="shared" si="7"/>
        <v>16</v>
      </c>
    </row>
    <row r="35" spans="1:14" ht="15.75" customHeight="1">
      <c r="A35" s="1013"/>
      <c r="B35" s="1000">
        <v>16</v>
      </c>
      <c r="C35" s="1541" t="s">
        <v>1119</v>
      </c>
      <c r="D35" s="989"/>
      <c r="E35" s="989"/>
      <c r="F35" s="991">
        <v>22415</v>
      </c>
      <c r="G35" s="989"/>
      <c r="H35" s="989"/>
      <c r="I35" s="989"/>
      <c r="J35" s="985">
        <f t="shared" si="6"/>
        <v>22415</v>
      </c>
      <c r="K35" s="989">
        <f>86804+19770+10000+69344+14377+9914+13+25060+49641+113297+410+1513+425+387</f>
        <v>400955</v>
      </c>
      <c r="L35" s="989">
        <v>25279</v>
      </c>
      <c r="M35" s="989"/>
      <c r="N35" s="990">
        <f t="shared" si="7"/>
        <v>448649</v>
      </c>
    </row>
    <row r="36" spans="1:14" ht="33" customHeight="1">
      <c r="A36" s="1013"/>
      <c r="B36" s="1540">
        <v>17</v>
      </c>
      <c r="C36" s="1014" t="s">
        <v>1120</v>
      </c>
      <c r="D36" s="989"/>
      <c r="E36" s="989"/>
      <c r="F36" s="989"/>
      <c r="G36" s="989"/>
      <c r="H36" s="989"/>
      <c r="I36" s="989"/>
      <c r="J36" s="985">
        <f t="shared" si="6"/>
        <v>0</v>
      </c>
      <c r="K36" s="989"/>
      <c r="L36" s="989">
        <v>159</v>
      </c>
      <c r="M36" s="989"/>
      <c r="N36" s="990">
        <f t="shared" si="7"/>
        <v>159</v>
      </c>
    </row>
    <row r="37" spans="1:14" ht="12" customHeight="1">
      <c r="A37" s="1013"/>
      <c r="B37" s="1000">
        <v>18</v>
      </c>
      <c r="C37" s="1014" t="s">
        <v>1121</v>
      </c>
      <c r="D37" s="989"/>
      <c r="E37" s="989"/>
      <c r="F37" s="989"/>
      <c r="G37" s="989"/>
      <c r="H37" s="989"/>
      <c r="I37" s="989"/>
      <c r="J37" s="985">
        <f t="shared" si="6"/>
        <v>0</v>
      </c>
      <c r="K37" s="989">
        <v>2500</v>
      </c>
      <c r="L37" s="989"/>
      <c r="M37" s="989"/>
      <c r="N37" s="990">
        <f t="shared" si="7"/>
        <v>2500</v>
      </c>
    </row>
    <row r="38" spans="1:14" ht="12" customHeight="1">
      <c r="A38" s="1013"/>
      <c r="B38" s="1000">
        <v>19</v>
      </c>
      <c r="C38" s="1014" t="s">
        <v>553</v>
      </c>
      <c r="D38" s="989"/>
      <c r="E38" s="989"/>
      <c r="F38" s="989"/>
      <c r="G38" s="989"/>
      <c r="H38" s="989"/>
      <c r="I38" s="989"/>
      <c r="J38" s="985">
        <f t="shared" si="6"/>
        <v>0</v>
      </c>
      <c r="K38" s="989">
        <v>21554</v>
      </c>
      <c r="L38" s="989"/>
      <c r="M38" s="989"/>
      <c r="N38" s="990">
        <f t="shared" si="7"/>
        <v>21554</v>
      </c>
    </row>
    <row r="39" spans="1:14" ht="12" customHeight="1">
      <c r="A39" s="1013"/>
      <c r="B39" s="1540">
        <v>20</v>
      </c>
      <c r="C39" s="982" t="s">
        <v>903</v>
      </c>
      <c r="D39" s="989">
        <f>'5.mell'!E554-'5.mell'!E555</f>
        <v>665</v>
      </c>
      <c r="E39" s="989">
        <f>'5.mell'!F554-'5.mell'!F555</f>
        <v>179</v>
      </c>
      <c r="F39" s="989">
        <f>'5.mell'!G554-'5.mell'!G555</f>
        <v>10050</v>
      </c>
      <c r="G39" s="989"/>
      <c r="H39" s="989"/>
      <c r="I39" s="989"/>
      <c r="J39" s="985">
        <f t="shared" si="6"/>
        <v>10894</v>
      </c>
      <c r="K39" s="989"/>
      <c r="L39" s="989"/>
      <c r="M39" s="989"/>
      <c r="N39" s="990">
        <f t="shared" si="7"/>
        <v>10894</v>
      </c>
    </row>
    <row r="40" spans="1:14" ht="12" customHeight="1">
      <c r="A40" s="1013"/>
      <c r="B40" s="1000">
        <v>21</v>
      </c>
      <c r="C40" s="982" t="s">
        <v>348</v>
      </c>
      <c r="D40" s="989"/>
      <c r="E40" s="989"/>
      <c r="F40" s="989">
        <f>'5.mell'!G210-'5.mell'!G211</f>
        <v>1014</v>
      </c>
      <c r="G40" s="989"/>
      <c r="H40" s="989"/>
      <c r="I40" s="989"/>
      <c r="J40" s="985">
        <f t="shared" si="6"/>
        <v>1014</v>
      </c>
      <c r="K40" s="989"/>
      <c r="L40" s="989"/>
      <c r="M40" s="989"/>
      <c r="N40" s="990">
        <f t="shared" si="7"/>
        <v>1014</v>
      </c>
    </row>
    <row r="41" spans="1:14" ht="12" customHeight="1">
      <c r="A41" s="1013"/>
      <c r="B41" s="1000">
        <v>22</v>
      </c>
      <c r="C41" s="982" t="s">
        <v>349</v>
      </c>
      <c r="D41" s="989"/>
      <c r="E41" s="989"/>
      <c r="F41" s="989">
        <f>30000+621+748</f>
        <v>31369</v>
      </c>
      <c r="G41" s="989"/>
      <c r="H41" s="989"/>
      <c r="I41" s="989"/>
      <c r="J41" s="985">
        <f t="shared" si="6"/>
        <v>31369</v>
      </c>
      <c r="K41" s="989"/>
      <c r="L41" s="989"/>
      <c r="M41" s="989"/>
      <c r="N41" s="990">
        <f t="shared" si="7"/>
        <v>31369</v>
      </c>
    </row>
    <row r="42" spans="1:14" ht="12" customHeight="1">
      <c r="A42" s="1013"/>
      <c r="B42" s="1540">
        <v>23</v>
      </c>
      <c r="C42" s="982" t="s">
        <v>386</v>
      </c>
      <c r="D42" s="989"/>
      <c r="E42" s="989"/>
      <c r="F42" s="989">
        <f>19+3</f>
        <v>22</v>
      </c>
      <c r="G42" s="989"/>
      <c r="H42" s="989"/>
      <c r="I42" s="989"/>
      <c r="J42" s="985">
        <f t="shared" si="6"/>
        <v>22</v>
      </c>
      <c r="K42" s="989"/>
      <c r="L42" s="989"/>
      <c r="M42" s="989"/>
      <c r="N42" s="990">
        <f t="shared" si="7"/>
        <v>22</v>
      </c>
    </row>
    <row r="43" spans="1:14" ht="12" customHeight="1">
      <c r="A43" s="1013"/>
      <c r="B43" s="1000">
        <v>24</v>
      </c>
      <c r="C43" s="982" t="s">
        <v>387</v>
      </c>
      <c r="D43" s="989"/>
      <c r="E43" s="989"/>
      <c r="F43" s="989">
        <v>10</v>
      </c>
      <c r="G43" s="989"/>
      <c r="H43" s="989"/>
      <c r="I43" s="989"/>
      <c r="J43" s="985">
        <f t="shared" si="6"/>
        <v>10</v>
      </c>
      <c r="K43" s="989"/>
      <c r="L43" s="989"/>
      <c r="M43" s="989"/>
      <c r="N43" s="990">
        <f t="shared" si="7"/>
        <v>10</v>
      </c>
    </row>
    <row r="44" spans="1:14" ht="12" customHeight="1">
      <c r="A44" s="1013"/>
      <c r="B44" s="1000">
        <v>25</v>
      </c>
      <c r="C44" s="982" t="s">
        <v>657</v>
      </c>
      <c r="D44" s="989"/>
      <c r="E44" s="989"/>
      <c r="F44" s="989"/>
      <c r="G44" s="989"/>
      <c r="H44" s="989">
        <f>159+53+391+58+219+206</f>
        <v>1086</v>
      </c>
      <c r="I44" s="989"/>
      <c r="J44" s="985">
        <f t="shared" si="6"/>
        <v>1086</v>
      </c>
      <c r="K44" s="989"/>
      <c r="L44" s="989"/>
      <c r="M44" s="989"/>
      <c r="N44" s="990">
        <f t="shared" si="7"/>
        <v>1086</v>
      </c>
    </row>
    <row r="45" spans="1:14" ht="12" customHeight="1">
      <c r="A45" s="1013"/>
      <c r="B45" s="1540">
        <v>26</v>
      </c>
      <c r="C45" s="982" t="s">
        <v>378</v>
      </c>
      <c r="D45" s="989"/>
      <c r="E45" s="989"/>
      <c r="F45" s="989"/>
      <c r="G45" s="989"/>
      <c r="H45" s="989">
        <f>814+219</f>
        <v>1033</v>
      </c>
      <c r="I45" s="989"/>
      <c r="J45" s="985">
        <f t="shared" si="6"/>
        <v>1033</v>
      </c>
      <c r="K45" s="989"/>
      <c r="L45" s="989"/>
      <c r="M45" s="989"/>
      <c r="N45" s="990">
        <f t="shared" si="7"/>
        <v>1033</v>
      </c>
    </row>
    <row r="46" spans="1:14" ht="12" customHeight="1">
      <c r="A46" s="1013"/>
      <c r="B46" s="1000">
        <v>27</v>
      </c>
      <c r="C46" s="982" t="s">
        <v>833</v>
      </c>
      <c r="D46" s="989"/>
      <c r="E46" s="989"/>
      <c r="F46" s="989"/>
      <c r="G46" s="989"/>
      <c r="H46" s="989">
        <f>61+21+4+1134+334+111+4+5+5</f>
        <v>1679</v>
      </c>
      <c r="I46" s="989"/>
      <c r="J46" s="985">
        <f t="shared" si="6"/>
        <v>1679</v>
      </c>
      <c r="K46" s="989"/>
      <c r="L46" s="989"/>
      <c r="M46" s="989"/>
      <c r="N46" s="990">
        <f t="shared" si="7"/>
        <v>1679</v>
      </c>
    </row>
    <row r="47" spans="1:14" ht="12" customHeight="1">
      <c r="A47" s="1013"/>
      <c r="B47" s="1000">
        <v>28</v>
      </c>
      <c r="C47" s="982" t="s">
        <v>388</v>
      </c>
      <c r="D47" s="989">
        <v>90</v>
      </c>
      <c r="E47" s="989"/>
      <c r="F47" s="989">
        <v>20</v>
      </c>
      <c r="G47" s="989"/>
      <c r="H47" s="989"/>
      <c r="I47" s="989"/>
      <c r="J47" s="985">
        <f t="shared" si="6"/>
        <v>110</v>
      </c>
      <c r="K47" s="989"/>
      <c r="L47" s="989"/>
      <c r="M47" s="989"/>
      <c r="N47" s="990">
        <f t="shared" si="7"/>
        <v>110</v>
      </c>
    </row>
    <row r="48" spans="1:14" ht="12" customHeight="1">
      <c r="A48" s="1013"/>
      <c r="B48" s="1540">
        <v>29</v>
      </c>
      <c r="C48" s="982" t="s">
        <v>377</v>
      </c>
      <c r="D48" s="989"/>
      <c r="E48" s="989"/>
      <c r="F48" s="989"/>
      <c r="G48" s="989"/>
      <c r="H48" s="989">
        <f>1247+977</f>
        <v>2224</v>
      </c>
      <c r="I48" s="989"/>
      <c r="J48" s="985">
        <f t="shared" si="6"/>
        <v>2224</v>
      </c>
      <c r="K48" s="989"/>
      <c r="L48" s="989"/>
      <c r="M48" s="989"/>
      <c r="N48" s="990">
        <f t="shared" si="7"/>
        <v>2224</v>
      </c>
    </row>
    <row r="49" spans="1:14" ht="12" customHeight="1">
      <c r="A49" s="1013"/>
      <c r="B49" s="1000">
        <v>30</v>
      </c>
      <c r="C49" s="982" t="s">
        <v>389</v>
      </c>
      <c r="D49" s="989"/>
      <c r="E49" s="989"/>
      <c r="F49" s="989"/>
      <c r="G49" s="989"/>
      <c r="H49" s="989">
        <f>22+25</f>
        <v>47</v>
      </c>
      <c r="I49" s="989"/>
      <c r="J49" s="985">
        <f t="shared" si="6"/>
        <v>47</v>
      </c>
      <c r="K49" s="989"/>
      <c r="L49" s="989"/>
      <c r="M49" s="989"/>
      <c r="N49" s="990">
        <f t="shared" si="7"/>
        <v>47</v>
      </c>
    </row>
    <row r="50" spans="1:14" ht="12" customHeight="1">
      <c r="A50" s="1013"/>
      <c r="B50" s="1000">
        <v>31</v>
      </c>
      <c r="C50" s="982" t="s">
        <v>658</v>
      </c>
      <c r="D50" s="989"/>
      <c r="E50" s="989"/>
      <c r="F50" s="989"/>
      <c r="G50" s="989"/>
      <c r="H50" s="989">
        <f>1512+1041+12</f>
        <v>2565</v>
      </c>
      <c r="I50" s="989"/>
      <c r="J50" s="985">
        <f t="shared" si="6"/>
        <v>2565</v>
      </c>
      <c r="K50" s="989"/>
      <c r="L50" s="989"/>
      <c r="M50" s="989"/>
      <c r="N50" s="990">
        <f t="shared" si="7"/>
        <v>2565</v>
      </c>
    </row>
    <row r="51" spans="1:14" ht="12" customHeight="1">
      <c r="A51" s="1013"/>
      <c r="B51" s="1540">
        <v>32</v>
      </c>
      <c r="C51" s="982" t="s">
        <v>390</v>
      </c>
      <c r="D51" s="989"/>
      <c r="E51" s="989"/>
      <c r="F51" s="989"/>
      <c r="G51" s="989"/>
      <c r="H51" s="989">
        <f>13+16+10+22+30+20+6+20+13+15+20+15</f>
        <v>200</v>
      </c>
      <c r="I51" s="989"/>
      <c r="J51" s="985">
        <f t="shared" si="6"/>
        <v>200</v>
      </c>
      <c r="K51" s="989"/>
      <c r="L51" s="989"/>
      <c r="M51" s="989"/>
      <c r="N51" s="990">
        <f t="shared" si="7"/>
        <v>200</v>
      </c>
    </row>
    <row r="52" spans="1:14" ht="12" customHeight="1">
      <c r="A52" s="1013"/>
      <c r="B52" s="1000">
        <v>33</v>
      </c>
      <c r="C52" s="982" t="s">
        <v>797</v>
      </c>
      <c r="D52" s="989"/>
      <c r="E52" s="989"/>
      <c r="F52" s="989">
        <f>35+50</f>
        <v>85</v>
      </c>
      <c r="G52" s="989"/>
      <c r="H52" s="989"/>
      <c r="I52" s="989"/>
      <c r="J52" s="985">
        <f t="shared" si="6"/>
        <v>85</v>
      </c>
      <c r="K52" s="989"/>
      <c r="L52" s="989"/>
      <c r="M52" s="989"/>
      <c r="N52" s="990">
        <f t="shared" si="7"/>
        <v>85</v>
      </c>
    </row>
    <row r="53" spans="1:14" ht="12" customHeight="1">
      <c r="A53" s="1013"/>
      <c r="B53" s="1000">
        <v>34</v>
      </c>
      <c r="C53" s="982" t="s">
        <v>391</v>
      </c>
      <c r="D53" s="989"/>
      <c r="E53" s="989"/>
      <c r="F53" s="989">
        <f>75+16</f>
        <v>91</v>
      </c>
      <c r="G53" s="989"/>
      <c r="H53" s="989"/>
      <c r="I53" s="989"/>
      <c r="J53" s="985">
        <f t="shared" si="6"/>
        <v>91</v>
      </c>
      <c r="K53" s="989"/>
      <c r="L53" s="989"/>
      <c r="M53" s="989"/>
      <c r="N53" s="990">
        <f t="shared" si="7"/>
        <v>91</v>
      </c>
    </row>
    <row r="54" spans="1:14" ht="12" customHeight="1">
      <c r="A54" s="1013"/>
      <c r="B54" s="1540">
        <v>35</v>
      </c>
      <c r="C54" s="982" t="s">
        <v>385</v>
      </c>
      <c r="D54" s="989"/>
      <c r="E54" s="989"/>
      <c r="F54" s="989">
        <v>594</v>
      </c>
      <c r="G54" s="989"/>
      <c r="H54" s="989"/>
      <c r="I54" s="989"/>
      <c r="J54" s="985">
        <f t="shared" si="6"/>
        <v>594</v>
      </c>
      <c r="K54" s="989"/>
      <c r="L54" s="989"/>
      <c r="M54" s="989"/>
      <c r="N54" s="990">
        <f t="shared" si="7"/>
        <v>594</v>
      </c>
    </row>
    <row r="55" spans="1:14" ht="12" customHeight="1">
      <c r="A55" s="1013"/>
      <c r="B55" s="1000">
        <v>36</v>
      </c>
      <c r="C55" s="982" t="s">
        <v>384</v>
      </c>
      <c r="D55" s="989"/>
      <c r="E55" s="989"/>
      <c r="F55" s="989">
        <f>4333+61</f>
        <v>4394</v>
      </c>
      <c r="G55" s="989"/>
      <c r="H55" s="989"/>
      <c r="I55" s="989"/>
      <c r="J55" s="985">
        <f t="shared" si="6"/>
        <v>4394</v>
      </c>
      <c r="K55" s="989"/>
      <c r="L55" s="989"/>
      <c r="M55" s="989"/>
      <c r="N55" s="990">
        <f t="shared" si="7"/>
        <v>4394</v>
      </c>
    </row>
    <row r="56" spans="1:14" ht="12" customHeight="1">
      <c r="A56" s="1013"/>
      <c r="B56" s="1000">
        <v>37</v>
      </c>
      <c r="C56" s="982" t="s">
        <v>545</v>
      </c>
      <c r="D56" s="989"/>
      <c r="E56" s="989"/>
      <c r="F56" s="989">
        <v>231</v>
      </c>
      <c r="G56" s="989"/>
      <c r="H56" s="989"/>
      <c r="I56" s="989"/>
      <c r="J56" s="985">
        <f t="shared" si="6"/>
        <v>231</v>
      </c>
      <c r="K56" s="989"/>
      <c r="L56" s="989"/>
      <c r="M56" s="989"/>
      <c r="N56" s="990">
        <f t="shared" si="7"/>
        <v>231</v>
      </c>
    </row>
    <row r="57" spans="1:14" ht="12" customHeight="1">
      <c r="A57" s="1013"/>
      <c r="B57" s="1540">
        <v>38</v>
      </c>
      <c r="C57" s="982" t="s">
        <v>383</v>
      </c>
      <c r="D57" s="989"/>
      <c r="E57" s="989"/>
      <c r="F57" s="989">
        <v>11141</v>
      </c>
      <c r="G57" s="989"/>
      <c r="H57" s="989"/>
      <c r="I57" s="989"/>
      <c r="J57" s="985">
        <f t="shared" si="6"/>
        <v>11141</v>
      </c>
      <c r="K57" s="989"/>
      <c r="L57" s="989"/>
      <c r="M57" s="989"/>
      <c r="N57" s="990">
        <f t="shared" si="7"/>
        <v>11141</v>
      </c>
    </row>
    <row r="58" spans="1:14" ht="12" customHeight="1">
      <c r="A58" s="1013"/>
      <c r="B58" s="1540">
        <v>39</v>
      </c>
      <c r="C58" s="982" t="s">
        <v>402</v>
      </c>
      <c r="D58" s="989"/>
      <c r="E58" s="989"/>
      <c r="F58" s="989">
        <f>7000-4491</f>
        <v>2509</v>
      </c>
      <c r="G58" s="989"/>
      <c r="H58" s="989"/>
      <c r="I58" s="989"/>
      <c r="J58" s="985">
        <f t="shared" si="6"/>
        <v>2509</v>
      </c>
      <c r="K58" s="989"/>
      <c r="L58" s="989"/>
      <c r="M58" s="989"/>
      <c r="N58" s="990">
        <f t="shared" si="7"/>
        <v>2509</v>
      </c>
    </row>
    <row r="59" spans="1:14" ht="12" customHeight="1">
      <c r="A59" s="1013"/>
      <c r="B59" s="1000">
        <v>40</v>
      </c>
      <c r="C59" s="982" t="s">
        <v>398</v>
      </c>
      <c r="D59" s="989"/>
      <c r="E59" s="989"/>
      <c r="F59" s="989">
        <v>25491</v>
      </c>
      <c r="G59" s="989"/>
      <c r="H59" s="989"/>
      <c r="I59" s="989"/>
      <c r="J59" s="985">
        <f t="shared" si="6"/>
        <v>25491</v>
      </c>
      <c r="K59" s="989"/>
      <c r="L59" s="989"/>
      <c r="M59" s="989"/>
      <c r="N59" s="990">
        <f t="shared" si="7"/>
        <v>25491</v>
      </c>
    </row>
    <row r="60" spans="1:14" ht="12" customHeight="1">
      <c r="A60" s="1013"/>
      <c r="B60" s="1540">
        <v>41</v>
      </c>
      <c r="C60" s="982" t="s">
        <v>399</v>
      </c>
      <c r="D60" s="989"/>
      <c r="E60" s="989"/>
      <c r="F60" s="989">
        <v>30000</v>
      </c>
      <c r="G60" s="989"/>
      <c r="H60" s="989"/>
      <c r="I60" s="989"/>
      <c r="J60" s="985">
        <f t="shared" si="6"/>
        <v>30000</v>
      </c>
      <c r="K60" s="989"/>
      <c r="L60" s="989"/>
      <c r="M60" s="989"/>
      <c r="N60" s="990">
        <f t="shared" si="7"/>
        <v>30000</v>
      </c>
    </row>
    <row r="61" spans="1:14" ht="12" customHeight="1">
      <c r="A61" s="1013"/>
      <c r="B61" s="1540">
        <v>42</v>
      </c>
      <c r="C61" s="1011" t="s">
        <v>481</v>
      </c>
      <c r="D61" s="989"/>
      <c r="E61" s="989"/>
      <c r="F61" s="991"/>
      <c r="G61" s="989"/>
      <c r="H61" s="989"/>
      <c r="I61" s="989"/>
      <c r="J61" s="985">
        <f t="shared" si="6"/>
        <v>0</v>
      </c>
      <c r="K61" s="989"/>
      <c r="L61" s="989">
        <v>30978</v>
      </c>
      <c r="M61" s="989"/>
      <c r="N61" s="990">
        <f t="shared" si="7"/>
        <v>30978</v>
      </c>
    </row>
    <row r="62" spans="1:14" s="24" customFormat="1" ht="11.25" customHeight="1">
      <c r="A62" s="2154" t="s">
        <v>400</v>
      </c>
      <c r="B62" s="2155"/>
      <c r="C62" s="2156"/>
      <c r="D62" s="985">
        <f aca="true" t="shared" si="8" ref="D62:I62">SUM(D20:D61)</f>
        <v>755</v>
      </c>
      <c r="E62" s="985">
        <f t="shared" si="8"/>
        <v>179</v>
      </c>
      <c r="F62" s="985">
        <f t="shared" si="8"/>
        <v>156025</v>
      </c>
      <c r="G62" s="985">
        <f t="shared" si="8"/>
        <v>0</v>
      </c>
      <c r="H62" s="985">
        <f t="shared" si="8"/>
        <v>9317</v>
      </c>
      <c r="I62" s="985">
        <f t="shared" si="8"/>
        <v>655</v>
      </c>
      <c r="J62" s="985">
        <f>SUM(D62:I62)</f>
        <v>166931</v>
      </c>
      <c r="K62" s="985">
        <f>SUM(K20:K61)</f>
        <v>628425</v>
      </c>
      <c r="L62" s="985">
        <f>SUM(L20:L61)</f>
        <v>62433</v>
      </c>
      <c r="M62" s="985">
        <f>SUM(M20:M61)</f>
        <v>300000</v>
      </c>
      <c r="N62" s="990">
        <f>SUM(J62:M62)</f>
        <v>1157789</v>
      </c>
    </row>
    <row r="63" spans="1:14" ht="11.25" customHeight="1">
      <c r="A63" s="1013"/>
      <c r="B63" s="1012"/>
      <c r="C63" s="991"/>
      <c r="D63" s="989"/>
      <c r="E63" s="989"/>
      <c r="F63" s="991"/>
      <c r="G63" s="989"/>
      <c r="H63" s="989"/>
      <c r="I63" s="989"/>
      <c r="J63" s="985"/>
      <c r="K63" s="989"/>
      <c r="L63" s="989"/>
      <c r="M63" s="989"/>
      <c r="N63" s="990"/>
    </row>
    <row r="64" spans="1:14" s="24" customFormat="1" ht="11.25" customHeight="1">
      <c r="A64" s="2154" t="s">
        <v>767</v>
      </c>
      <c r="B64" s="2155"/>
      <c r="C64" s="2156"/>
      <c r="D64" s="985">
        <f aca="true" t="shared" si="9" ref="D64:I64">D15+D16+D62</f>
        <v>1663</v>
      </c>
      <c r="E64" s="985">
        <f t="shared" si="9"/>
        <v>433</v>
      </c>
      <c r="F64" s="985">
        <f t="shared" si="9"/>
        <v>161483</v>
      </c>
      <c r="G64" s="985">
        <f t="shared" si="9"/>
        <v>0</v>
      </c>
      <c r="H64" s="985">
        <f t="shared" si="9"/>
        <v>9317</v>
      </c>
      <c r="I64" s="985">
        <f t="shared" si="9"/>
        <v>4842</v>
      </c>
      <c r="J64" s="985">
        <f>SUM(D64:I64)</f>
        <v>177738</v>
      </c>
      <c r="K64" s="985">
        <f>K62+K16+K15</f>
        <v>630967</v>
      </c>
      <c r="L64" s="985">
        <f>L62+L16+L15</f>
        <v>62433</v>
      </c>
      <c r="M64" s="985">
        <f>M62+M16+M15</f>
        <v>300000</v>
      </c>
      <c r="N64" s="990">
        <f>SUM(J64:M64)</f>
        <v>1171138</v>
      </c>
    </row>
  </sheetData>
  <sheetProtection/>
  <mergeCells count="9">
    <mergeCell ref="A62:C62"/>
    <mergeCell ref="A64:C64"/>
    <mergeCell ref="I6:I7"/>
    <mergeCell ref="H5:I5"/>
    <mergeCell ref="H6:H7"/>
    <mergeCell ref="A15:C15"/>
    <mergeCell ref="A5:B5"/>
    <mergeCell ref="A6:B6"/>
    <mergeCell ref="A7:B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0" r:id="rId2"/>
  <rowBreaks count="1" manualBreakCount="1">
    <brk id="35" max="1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67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.75390625" style="132" customWidth="1"/>
    <col min="2" max="2" width="5.375" style="132" customWidth="1"/>
    <col min="3" max="3" width="74.625" style="132" customWidth="1"/>
    <col min="4" max="4" width="13.625" style="1653" customWidth="1"/>
  </cols>
  <sheetData>
    <row r="4" spans="2:4" ht="23.25" customHeight="1">
      <c r="B4" s="1698" t="s">
        <v>1143</v>
      </c>
      <c r="D4" s="1560" t="s">
        <v>836</v>
      </c>
    </row>
    <row r="5" spans="1:4" ht="65.25" customHeight="1">
      <c r="A5" s="2175" t="s">
        <v>334</v>
      </c>
      <c r="B5" s="2175"/>
      <c r="C5" s="2175"/>
      <c r="D5" s="1561" t="s">
        <v>1109</v>
      </c>
    </row>
    <row r="6" spans="1:4" ht="12.75">
      <c r="A6" s="1543" t="s">
        <v>340</v>
      </c>
      <c r="B6" s="1544"/>
      <c r="C6" s="1545" t="s">
        <v>897</v>
      </c>
      <c r="D6" s="1558">
        <f>D8+D31</f>
        <v>440088</v>
      </c>
    </row>
    <row r="7" spans="1:4" ht="6.75" customHeight="1">
      <c r="A7" s="1543"/>
      <c r="B7" s="1544"/>
      <c r="C7" s="1545"/>
      <c r="D7" s="1559"/>
    </row>
    <row r="8" spans="1:4" ht="12.75">
      <c r="A8" s="1543"/>
      <c r="B8" s="1543" t="s">
        <v>442</v>
      </c>
      <c r="C8" s="1545" t="s">
        <v>760</v>
      </c>
      <c r="D8" s="1558">
        <f>D9+D24</f>
        <v>439973</v>
      </c>
    </row>
    <row r="9" spans="1:4" ht="12.75">
      <c r="A9" s="1546"/>
      <c r="B9" s="1547" t="s">
        <v>316</v>
      </c>
      <c r="C9" s="1548" t="s">
        <v>761</v>
      </c>
      <c r="D9" s="1558">
        <f>SUM(D10:D22)</f>
        <v>252093</v>
      </c>
    </row>
    <row r="10" spans="1:4" ht="12.75">
      <c r="A10" s="1546"/>
      <c r="B10" s="1549">
        <v>1.1</v>
      </c>
      <c r="C10" s="1451" t="s">
        <v>662</v>
      </c>
      <c r="D10" s="1559">
        <v>2427</v>
      </c>
    </row>
    <row r="11" spans="1:4" ht="12.75">
      <c r="A11" s="1546"/>
      <c r="B11" s="1549">
        <v>1.2</v>
      </c>
      <c r="C11" s="1451" t="s">
        <v>283</v>
      </c>
      <c r="D11" s="1559">
        <v>2500</v>
      </c>
    </row>
    <row r="12" spans="1:4" ht="12.75">
      <c r="A12" s="1546"/>
      <c r="B12" s="1549">
        <v>1.3</v>
      </c>
      <c r="C12" s="1452" t="s">
        <v>663</v>
      </c>
      <c r="D12" s="1559">
        <v>2000</v>
      </c>
    </row>
    <row r="13" spans="1:6" ht="12.75" customHeight="1">
      <c r="A13" s="1546"/>
      <c r="B13" s="1549">
        <v>1.4</v>
      </c>
      <c r="C13" s="1453" t="s">
        <v>582</v>
      </c>
      <c r="D13" s="1559">
        <v>86804</v>
      </c>
      <c r="F13" s="1498"/>
    </row>
    <row r="14" spans="1:4" ht="12.75">
      <c r="A14" s="1546"/>
      <c r="B14" s="1549">
        <v>1.5</v>
      </c>
      <c r="C14" s="1452" t="s">
        <v>664</v>
      </c>
      <c r="D14" s="1559">
        <f>25080-541+86461</f>
        <v>111000</v>
      </c>
    </row>
    <row r="15" spans="1:4" ht="13.5" customHeight="1">
      <c r="A15" s="1546"/>
      <c r="B15" s="1549">
        <v>1.6</v>
      </c>
      <c r="C15" s="46" t="s">
        <v>1105</v>
      </c>
      <c r="D15" s="1559">
        <v>425</v>
      </c>
    </row>
    <row r="16" spans="1:4" ht="12.75">
      <c r="A16" s="1546"/>
      <c r="B16" s="1549">
        <v>1.7</v>
      </c>
      <c r="C16" s="1451" t="s">
        <v>585</v>
      </c>
      <c r="D16" s="1559">
        <v>1513</v>
      </c>
    </row>
    <row r="17" spans="1:4" ht="12.75">
      <c r="A17" s="1546"/>
      <c r="B17" s="1549">
        <v>1.8</v>
      </c>
      <c r="C17" s="1452" t="s">
        <v>1103</v>
      </c>
      <c r="D17" s="1559">
        <f>21308-1538</f>
        <v>19770</v>
      </c>
    </row>
    <row r="18" spans="1:4" ht="13.5" customHeight="1">
      <c r="A18" s="1546"/>
      <c r="B18" s="1549">
        <v>1.9</v>
      </c>
      <c r="C18" s="1454" t="s">
        <v>1104</v>
      </c>
      <c r="D18" s="1559">
        <v>10000</v>
      </c>
    </row>
    <row r="19" spans="1:4" ht="15.75" customHeight="1">
      <c r="A19" s="1546"/>
      <c r="B19" s="1550">
        <v>1.1</v>
      </c>
      <c r="C19" s="1454" t="s">
        <v>805</v>
      </c>
      <c r="D19" s="1559">
        <v>14377</v>
      </c>
    </row>
    <row r="20" spans="1:4" ht="15.75" customHeight="1">
      <c r="A20" s="1546"/>
      <c r="B20" s="1550">
        <v>1.11</v>
      </c>
      <c r="C20" s="1454" t="s">
        <v>855</v>
      </c>
      <c r="D20" s="1559">
        <v>387</v>
      </c>
    </row>
    <row r="21" spans="1:4" ht="30.75" customHeight="1">
      <c r="A21" s="1546"/>
      <c r="B21" s="1550">
        <v>1.12</v>
      </c>
      <c r="C21" s="1454" t="s">
        <v>917</v>
      </c>
      <c r="D21" s="1559">
        <v>410</v>
      </c>
    </row>
    <row r="22" spans="1:4" ht="15.75" customHeight="1">
      <c r="A22" s="1546"/>
      <c r="B22" s="1550">
        <v>1.13</v>
      </c>
      <c r="C22" s="90" t="s">
        <v>1106</v>
      </c>
      <c r="D22" s="1559">
        <v>480</v>
      </c>
    </row>
    <row r="23" spans="1:4" ht="12.75">
      <c r="A23" s="1546"/>
      <c r="B23" s="1450"/>
      <c r="C23" s="1452"/>
      <c r="D23" s="1654"/>
    </row>
    <row r="24" spans="1:4" ht="19.5" customHeight="1">
      <c r="A24" s="1546"/>
      <c r="B24" s="1547" t="s">
        <v>318</v>
      </c>
      <c r="C24" s="1551" t="s">
        <v>708</v>
      </c>
      <c r="D24" s="1558">
        <f>SUM(D25:D29)</f>
        <v>187880</v>
      </c>
    </row>
    <row r="25" spans="1:4" ht="14.25" customHeight="1">
      <c r="A25" s="1546"/>
      <c r="B25" s="1450">
        <v>2.1</v>
      </c>
      <c r="C25" s="1454" t="s">
        <v>713</v>
      </c>
      <c r="D25" s="1559">
        <v>113297</v>
      </c>
    </row>
    <row r="26" spans="1:4" ht="30.75" customHeight="1">
      <c r="A26" s="1546"/>
      <c r="B26" s="1450">
        <v>2.2</v>
      </c>
      <c r="C26" s="1454" t="s">
        <v>714</v>
      </c>
      <c r="D26" s="1559">
        <v>21554</v>
      </c>
    </row>
    <row r="27" spans="1:4" ht="15.75" customHeight="1">
      <c r="A27" s="1546"/>
      <c r="B27" s="1450">
        <v>2.3</v>
      </c>
      <c r="C27" s="1455" t="s">
        <v>1108</v>
      </c>
      <c r="D27" s="1559">
        <f>5967+7085+5773+6235</f>
        <v>25060</v>
      </c>
    </row>
    <row r="28" spans="1:4" ht="28.5" customHeight="1">
      <c r="A28" s="1546"/>
      <c r="B28" s="1450">
        <v>2.4</v>
      </c>
      <c r="C28" s="1454" t="s">
        <v>854</v>
      </c>
      <c r="D28" s="1559">
        <v>16</v>
      </c>
    </row>
    <row r="29" spans="1:4" ht="16.5" customHeight="1">
      <c r="A29" s="1546"/>
      <c r="B29" s="1450">
        <v>2.5</v>
      </c>
      <c r="C29" s="1456" t="s">
        <v>679</v>
      </c>
      <c r="D29" s="1559">
        <v>27953</v>
      </c>
    </row>
    <row r="30" spans="1:4" ht="12.75">
      <c r="A30" s="1546"/>
      <c r="B30" s="1450"/>
      <c r="C30" s="1451"/>
      <c r="D30" s="1654"/>
    </row>
    <row r="31" spans="1:4" ht="13.5" customHeight="1">
      <c r="A31" s="1552"/>
      <c r="B31" s="1547" t="s">
        <v>443</v>
      </c>
      <c r="C31" s="1553" t="s">
        <v>762</v>
      </c>
      <c r="D31" s="1558">
        <f>D32</f>
        <v>115</v>
      </c>
    </row>
    <row r="32" spans="1:4" ht="12.75">
      <c r="A32" s="1552"/>
      <c r="B32" s="1450">
        <v>1</v>
      </c>
      <c r="C32" s="1452" t="s">
        <v>922</v>
      </c>
      <c r="D32" s="1559">
        <v>115</v>
      </c>
    </row>
    <row r="33" spans="1:4" ht="12.75">
      <c r="A33" s="1552"/>
      <c r="B33" s="1450"/>
      <c r="C33" s="1452"/>
      <c r="D33" s="1654"/>
    </row>
    <row r="34" spans="1:4" ht="12.75">
      <c r="A34" s="1552" t="s">
        <v>341</v>
      </c>
      <c r="B34" s="1450"/>
      <c r="C34" s="1554" t="s">
        <v>896</v>
      </c>
      <c r="D34" s="1558">
        <f>D36</f>
        <v>190879</v>
      </c>
    </row>
    <row r="35" spans="1:4" ht="12.75">
      <c r="A35" s="1552"/>
      <c r="B35" s="1450"/>
      <c r="C35" s="1554"/>
      <c r="D35" s="1559"/>
    </row>
    <row r="36" spans="1:4" ht="12.75">
      <c r="A36" s="1552"/>
      <c r="B36" s="1547" t="s">
        <v>442</v>
      </c>
      <c r="C36" s="1545" t="s">
        <v>763</v>
      </c>
      <c r="D36" s="1558">
        <f>D37+D40</f>
        <v>190879</v>
      </c>
    </row>
    <row r="37" spans="1:4" ht="12.75">
      <c r="A37" s="1552"/>
      <c r="B37" s="1547" t="s">
        <v>316</v>
      </c>
      <c r="C37" s="1548" t="s">
        <v>761</v>
      </c>
      <c r="D37" s="1559">
        <f>D38</f>
        <v>9914</v>
      </c>
    </row>
    <row r="38" spans="1:4" ht="12.75">
      <c r="A38" s="1552"/>
      <c r="B38" s="1450">
        <v>1.1</v>
      </c>
      <c r="C38" s="1452" t="s">
        <v>698</v>
      </c>
      <c r="D38" s="1559">
        <v>9914</v>
      </c>
    </row>
    <row r="39" spans="1:4" ht="12.75">
      <c r="A39" s="1552"/>
      <c r="B39" s="1450"/>
      <c r="C39" s="1451"/>
      <c r="D39" s="1654"/>
    </row>
    <row r="40" spans="1:4" ht="24" customHeight="1">
      <c r="A40" s="1552"/>
      <c r="B40" s="1547" t="s">
        <v>318</v>
      </c>
      <c r="C40" s="1551" t="s">
        <v>708</v>
      </c>
      <c r="D40" s="1558">
        <f>SUM(D41:D46)</f>
        <v>180965</v>
      </c>
    </row>
    <row r="41" spans="1:4" ht="12.75">
      <c r="A41" s="1552"/>
      <c r="B41" s="1450">
        <v>2.1</v>
      </c>
      <c r="C41" s="1452" t="s">
        <v>677</v>
      </c>
      <c r="D41" s="1559">
        <v>17590</v>
      </c>
    </row>
    <row r="42" spans="1:4" ht="14.25" customHeight="1">
      <c r="A42" s="1552"/>
      <c r="B42" s="1450">
        <v>2.2</v>
      </c>
      <c r="C42" s="1455" t="s">
        <v>676</v>
      </c>
      <c r="D42" s="1559">
        <v>69344</v>
      </c>
    </row>
    <row r="43" spans="1:4" ht="15.75" customHeight="1">
      <c r="A43" s="1552"/>
      <c r="B43" s="1450">
        <v>2.3</v>
      </c>
      <c r="C43" s="1456" t="s">
        <v>678</v>
      </c>
      <c r="D43" s="1559">
        <v>13</v>
      </c>
    </row>
    <row r="44" spans="1:4" ht="15" customHeight="1">
      <c r="A44" s="1552"/>
      <c r="B44" s="1450">
        <v>2.4</v>
      </c>
      <c r="C44" s="1456" t="s">
        <v>715</v>
      </c>
      <c r="D44" s="1559">
        <v>44377</v>
      </c>
    </row>
    <row r="45" spans="1:4" ht="14.25" customHeight="1">
      <c r="A45" s="1552"/>
      <c r="B45" s="1450">
        <v>2.5</v>
      </c>
      <c r="C45" s="1456" t="s">
        <v>373</v>
      </c>
      <c r="D45" s="1559">
        <v>49641</v>
      </c>
    </row>
    <row r="46" spans="1:4" ht="10.5" customHeight="1">
      <c r="A46" s="1552"/>
      <c r="B46" s="1450"/>
      <c r="C46" s="1454"/>
      <c r="D46" s="1654"/>
    </row>
    <row r="47" spans="1:4" ht="12.75">
      <c r="A47" s="2176" t="s">
        <v>1112</v>
      </c>
      <c r="B47" s="2177"/>
      <c r="C47" s="2177"/>
      <c r="D47" s="1558">
        <f>D6+D34</f>
        <v>630967</v>
      </c>
    </row>
    <row r="48" spans="1:4" ht="12.75">
      <c r="A48" s="1546"/>
      <c r="B48" s="1450"/>
      <c r="C48" s="1555"/>
      <c r="D48" s="1654"/>
    </row>
    <row r="49" spans="1:4" ht="12.75">
      <c r="A49" s="1543" t="s">
        <v>353</v>
      </c>
      <c r="B49" s="1544"/>
      <c r="C49" s="1545" t="s">
        <v>589</v>
      </c>
      <c r="D49" s="1558">
        <f>D51</f>
        <v>31455</v>
      </c>
    </row>
    <row r="50" spans="1:4" ht="12.75">
      <c r="A50" s="1543"/>
      <c r="B50" s="1544"/>
      <c r="C50" s="1545"/>
      <c r="D50" s="1559"/>
    </row>
    <row r="51" spans="1:4" ht="12.75">
      <c r="A51" s="1543"/>
      <c r="B51" s="1543" t="s">
        <v>442</v>
      </c>
      <c r="C51" s="1545" t="s">
        <v>771</v>
      </c>
      <c r="D51" s="1558">
        <f>D52+D55</f>
        <v>31455</v>
      </c>
    </row>
    <row r="52" spans="1:4" ht="12.75">
      <c r="A52" s="1543"/>
      <c r="B52" s="1542" t="s">
        <v>316</v>
      </c>
      <c r="C52" s="1548" t="s">
        <v>761</v>
      </c>
      <c r="D52" s="1559">
        <f>D53</f>
        <v>4377</v>
      </c>
    </row>
    <row r="53" spans="1:4" ht="15" customHeight="1">
      <c r="A53" s="1556"/>
      <c r="B53" s="1450">
        <v>1.1</v>
      </c>
      <c r="C53" s="1457" t="s">
        <v>473</v>
      </c>
      <c r="D53" s="1559">
        <v>4377</v>
      </c>
    </row>
    <row r="54" spans="1:4" ht="8.25" customHeight="1">
      <c r="A54" s="1546"/>
      <c r="B54" s="1450"/>
      <c r="C54" s="1457"/>
      <c r="D54" s="1654"/>
    </row>
    <row r="55" spans="1:4" ht="26.25" customHeight="1">
      <c r="A55" s="1552"/>
      <c r="B55" s="1547" t="s">
        <v>318</v>
      </c>
      <c r="C55" s="1551" t="s">
        <v>709</v>
      </c>
      <c r="D55" s="1558">
        <f>SUM(D56:D58)</f>
        <v>27078</v>
      </c>
    </row>
    <row r="56" spans="1:4" ht="35.25" customHeight="1">
      <c r="A56" s="1546"/>
      <c r="B56" s="1450">
        <v>2.1</v>
      </c>
      <c r="C56" s="1457" t="s">
        <v>1107</v>
      </c>
      <c r="D56" s="1559">
        <v>25279</v>
      </c>
    </row>
    <row r="57" spans="1:4" ht="41.25" customHeight="1">
      <c r="A57" s="1546"/>
      <c r="B57" s="1450">
        <v>2.2</v>
      </c>
      <c r="C57" s="1718" t="s">
        <v>773</v>
      </c>
      <c r="D57" s="1559">
        <v>1640</v>
      </c>
    </row>
    <row r="58" spans="1:4" ht="27.75" customHeight="1">
      <c r="A58" s="1546"/>
      <c r="B58" s="1450">
        <v>2.3</v>
      </c>
      <c r="C58" s="1457" t="s">
        <v>851</v>
      </c>
      <c r="D58" s="1559">
        <v>159</v>
      </c>
    </row>
    <row r="59" spans="1:4" ht="12.75">
      <c r="A59" s="2178" t="s">
        <v>1113</v>
      </c>
      <c r="B59" s="2179"/>
      <c r="C59" s="2179"/>
      <c r="D59" s="1558">
        <f>D49</f>
        <v>31455</v>
      </c>
    </row>
    <row r="60" spans="1:4" ht="12.75">
      <c r="A60" s="1544"/>
      <c r="B60" s="1544"/>
      <c r="C60" s="1557" t="s">
        <v>445</v>
      </c>
      <c r="D60" s="2171">
        <f>D47+D59</f>
        <v>662422</v>
      </c>
    </row>
    <row r="61" spans="1:4" ht="12.75">
      <c r="A61" s="1544"/>
      <c r="B61" s="1544"/>
      <c r="C61" s="1557" t="s">
        <v>484</v>
      </c>
      <c r="D61" s="2171"/>
    </row>
    <row r="62" spans="1:4" ht="12.75">
      <c r="A62" s="1451"/>
      <c r="B62" s="1451"/>
      <c r="C62" s="1451"/>
      <c r="D62" s="1559"/>
    </row>
    <row r="63" spans="1:4" ht="12.75">
      <c r="A63" s="1451"/>
      <c r="B63" s="1451"/>
      <c r="C63" s="1650" t="s">
        <v>1110</v>
      </c>
      <c r="D63" s="1559">
        <v>30000</v>
      </c>
    </row>
    <row r="64" spans="1:4" ht="12.75">
      <c r="A64" s="1451"/>
      <c r="B64" s="1451"/>
      <c r="C64" s="1651" t="s">
        <v>588</v>
      </c>
      <c r="D64" s="1559">
        <v>978</v>
      </c>
    </row>
    <row r="65" spans="1:4" ht="12.75">
      <c r="A65" s="1451"/>
      <c r="B65" s="1451"/>
      <c r="C65" s="1451" t="s">
        <v>1114</v>
      </c>
      <c r="D65" s="1559">
        <v>300000</v>
      </c>
    </row>
    <row r="66" spans="1:4" ht="12.75">
      <c r="A66" s="1451"/>
      <c r="B66" s="1451"/>
      <c r="C66" s="1451"/>
      <c r="D66" s="1559"/>
    </row>
    <row r="67" spans="1:4" s="1652" customFormat="1" ht="12.75">
      <c r="A67" s="2172" t="s">
        <v>1111</v>
      </c>
      <c r="B67" s="2173"/>
      <c r="C67" s="2174"/>
      <c r="D67" s="1558">
        <f>D60+D63+D64+D65</f>
        <v>993400</v>
      </c>
    </row>
  </sheetData>
  <sheetProtection/>
  <mergeCells count="5">
    <mergeCell ref="D60:D61"/>
    <mergeCell ref="A67:C67"/>
    <mergeCell ref="A5:C5"/>
    <mergeCell ref="A47:C47"/>
    <mergeCell ref="A59:C59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8:N62"/>
  <sheetViews>
    <sheetView showGridLines="0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30.625" style="1015" customWidth="1"/>
    <col min="2" max="2" width="9.875" style="1015" customWidth="1"/>
    <col min="3" max="3" width="8.00390625" style="1015" customWidth="1"/>
    <col min="4" max="4" width="9.75390625" style="1015" customWidth="1"/>
    <col min="5" max="5" width="9.375" style="1015" customWidth="1"/>
    <col min="6" max="6" width="7.125" style="1015" customWidth="1"/>
    <col min="7" max="7" width="10.125" style="1015" customWidth="1"/>
    <col min="8" max="9" width="9.25390625" style="1015" customWidth="1"/>
    <col min="10" max="10" width="6.125" style="1015" customWidth="1"/>
    <col min="11" max="11" width="9.375" style="1015" customWidth="1"/>
    <col min="12" max="12" width="8.875" style="1015" customWidth="1"/>
    <col min="13" max="13" width="6.375" style="1015" customWidth="1"/>
    <col min="14" max="14" width="9.00390625" style="1015" customWidth="1"/>
    <col min="15" max="16384" width="9.125" style="1015" customWidth="1"/>
  </cols>
  <sheetData>
    <row r="5" ht="10.5" customHeight="1"/>
    <row r="6" ht="10.5" customHeight="1"/>
    <row r="7" ht="10.5" customHeight="1"/>
    <row r="8" ht="9.75" customHeight="1" thickBot="1">
      <c r="G8" s="1016" t="s">
        <v>301</v>
      </c>
    </row>
    <row r="9" spans="1:14" s="1020" customFormat="1" ht="9.75" customHeight="1">
      <c r="A9" s="1017"/>
      <c r="B9" s="2180" t="s">
        <v>1003</v>
      </c>
      <c r="C9" s="2180" t="s">
        <v>1004</v>
      </c>
      <c r="D9" s="2180" t="s">
        <v>1005</v>
      </c>
      <c r="E9" s="2180" t="s">
        <v>1006</v>
      </c>
      <c r="F9" s="2180" t="s">
        <v>1007</v>
      </c>
      <c r="G9" s="2183" t="s">
        <v>1008</v>
      </c>
      <c r="H9" s="1018"/>
      <c r="I9" s="1019"/>
      <c r="J9" s="1019"/>
      <c r="K9" s="1019"/>
      <c r="L9" s="1019"/>
      <c r="M9" s="1019"/>
      <c r="N9" s="1019"/>
    </row>
    <row r="10" spans="1:14" s="1020" customFormat="1" ht="9.75" customHeight="1">
      <c r="A10" s="2188" t="s">
        <v>1009</v>
      </c>
      <c r="B10" s="2181"/>
      <c r="C10" s="2181"/>
      <c r="D10" s="2181"/>
      <c r="E10" s="2181"/>
      <c r="F10" s="2181"/>
      <c r="G10" s="2184"/>
      <c r="H10" s="1021"/>
      <c r="I10" s="1019"/>
      <c r="J10" s="1019"/>
      <c r="K10" s="1019"/>
      <c r="L10" s="1019"/>
      <c r="M10" s="1019"/>
      <c r="N10" s="1019"/>
    </row>
    <row r="11" spans="1:14" s="1020" customFormat="1" ht="9.75" customHeight="1">
      <c r="A11" s="2188"/>
      <c r="B11" s="2181"/>
      <c r="C11" s="2181"/>
      <c r="D11" s="2181"/>
      <c r="E11" s="2181"/>
      <c r="F11" s="2181"/>
      <c r="G11" s="2184"/>
      <c r="H11" s="1021"/>
      <c r="I11" s="1019"/>
      <c r="J11" s="1019"/>
      <c r="K11" s="1019"/>
      <c r="L11" s="1019"/>
      <c r="M11" s="1019"/>
      <c r="N11" s="1019"/>
    </row>
    <row r="12" spans="1:14" s="1020" customFormat="1" ht="19.5" customHeight="1" thickBot="1">
      <c r="A12" s="1022"/>
      <c r="B12" s="2182"/>
      <c r="C12" s="2182"/>
      <c r="D12" s="2182"/>
      <c r="E12" s="2182"/>
      <c r="F12" s="2182"/>
      <c r="G12" s="2185"/>
      <c r="H12" s="1018"/>
      <c r="I12" s="1019"/>
      <c r="J12" s="1019"/>
      <c r="K12" s="1019"/>
      <c r="L12" s="1019"/>
      <c r="M12" s="1019"/>
      <c r="N12" s="1019"/>
    </row>
    <row r="13" spans="1:14" ht="7.5" customHeight="1">
      <c r="A13" s="1023"/>
      <c r="B13" s="1024"/>
      <c r="C13" s="1024"/>
      <c r="D13" s="1025"/>
      <c r="E13" s="1026"/>
      <c r="F13" s="1026"/>
      <c r="G13" s="1027"/>
      <c r="H13" s="1028"/>
      <c r="I13" s="1025"/>
      <c r="J13" s="1025"/>
      <c r="K13" s="1025"/>
      <c r="L13" s="1025"/>
      <c r="M13" s="1025"/>
      <c r="N13" s="1025"/>
    </row>
    <row r="14" spans="1:14" s="1020" customFormat="1" ht="10.5" customHeight="1">
      <c r="A14" s="1029" t="s">
        <v>1010</v>
      </c>
      <c r="B14" s="1030">
        <f>SUM(B16:B19)</f>
        <v>7250160</v>
      </c>
      <c r="C14" s="1030">
        <f>SUM(C16:C19)</f>
        <v>0</v>
      </c>
      <c r="D14" s="1031">
        <f>SUM(D16:D19)</f>
        <v>7250160</v>
      </c>
      <c r="E14" s="1030">
        <f>E16+E17+E18+E19</f>
        <v>7802184</v>
      </c>
      <c r="F14" s="1030">
        <f>SUM(F16:F19)</f>
        <v>0</v>
      </c>
      <c r="G14" s="1032">
        <f>SUM(G16:G19)</f>
        <v>7802184</v>
      </c>
      <c r="H14" s="1018"/>
      <c r="I14" s="1033"/>
      <c r="J14" s="1033"/>
      <c r="K14" s="1033"/>
      <c r="L14" s="1033"/>
      <c r="M14" s="1033"/>
      <c r="N14" s="1033"/>
    </row>
    <row r="15" spans="1:14" s="1020" customFormat="1" ht="10.5" customHeight="1">
      <c r="A15" s="1034"/>
      <c r="B15" s="1030"/>
      <c r="C15" s="1035"/>
      <c r="D15" s="1036"/>
      <c r="E15" s="1030"/>
      <c r="F15" s="1030"/>
      <c r="G15" s="1032"/>
      <c r="H15" s="1019"/>
      <c r="I15" s="1037"/>
      <c r="J15" s="1037"/>
      <c r="K15" s="1037"/>
      <c r="L15" s="1037"/>
      <c r="M15" s="1037"/>
      <c r="N15" s="1037"/>
    </row>
    <row r="16" spans="1:14" s="1020" customFormat="1" ht="10.5" customHeight="1">
      <c r="A16" s="1038" t="s">
        <v>1011</v>
      </c>
      <c r="B16" s="1039">
        <v>3692</v>
      </c>
      <c r="C16" s="1040"/>
      <c r="D16" s="1041">
        <f>SUM(B16:C16)</f>
        <v>3692</v>
      </c>
      <c r="E16" s="1039">
        <f>1468+39</f>
        <v>1507</v>
      </c>
      <c r="F16" s="1039">
        <v>0</v>
      </c>
      <c r="G16" s="1032">
        <f>SUM(E16:F16)</f>
        <v>1507</v>
      </c>
      <c r="H16" s="1019"/>
      <c r="I16" s="1037"/>
      <c r="J16" s="1037"/>
      <c r="K16" s="1037"/>
      <c r="L16" s="1037"/>
      <c r="M16" s="1037"/>
      <c r="N16" s="1037"/>
    </row>
    <row r="17" spans="1:14" s="1020" customFormat="1" ht="10.5" customHeight="1">
      <c r="A17" s="1038" t="s">
        <v>1012</v>
      </c>
      <c r="B17" s="1039">
        <v>4257944</v>
      </c>
      <c r="C17" s="1040"/>
      <c r="D17" s="1041">
        <f>SUM(B17:C17)</f>
        <v>4257944</v>
      </c>
      <c r="E17" s="1039">
        <f>5035477+291</f>
        <v>5035768</v>
      </c>
      <c r="F17" s="1039">
        <v>0</v>
      </c>
      <c r="G17" s="1032">
        <f>SUM(E17:F17)</f>
        <v>5035768</v>
      </c>
      <c r="H17" s="1018"/>
      <c r="I17" s="1037"/>
      <c r="J17" s="1037"/>
      <c r="K17" s="1037"/>
      <c r="L17" s="1037"/>
      <c r="M17" s="1037"/>
      <c r="N17" s="1037"/>
    </row>
    <row r="18" spans="1:14" s="1020" customFormat="1" ht="10.5" customHeight="1">
      <c r="A18" s="1038" t="s">
        <v>1013</v>
      </c>
      <c r="B18" s="1039">
        <v>96051</v>
      </c>
      <c r="C18" s="1040"/>
      <c r="D18" s="1041">
        <f>SUM(B18:C18)</f>
        <v>96051</v>
      </c>
      <c r="E18" s="1039">
        <v>40516</v>
      </c>
      <c r="F18" s="1039">
        <v>0</v>
      </c>
      <c r="G18" s="1032">
        <f>SUM(E18:F18)</f>
        <v>40516</v>
      </c>
      <c r="H18" s="1019"/>
      <c r="I18" s="1037"/>
      <c r="J18" s="1037"/>
      <c r="K18" s="1037"/>
      <c r="L18" s="1037"/>
      <c r="M18" s="1037"/>
      <c r="N18" s="1037"/>
    </row>
    <row r="19" spans="1:14" s="1020" customFormat="1" ht="33.75" customHeight="1">
      <c r="A19" s="1042" t="s">
        <v>1085</v>
      </c>
      <c r="B19" s="1039">
        <v>2892473</v>
      </c>
      <c r="C19" s="1040"/>
      <c r="D19" s="1041">
        <f>SUM(B19:C19)</f>
        <v>2892473</v>
      </c>
      <c r="E19" s="1039">
        <v>2724393</v>
      </c>
      <c r="F19" s="1039">
        <v>0</v>
      </c>
      <c r="G19" s="1032">
        <f>SUM(E19:F19)</f>
        <v>2724393</v>
      </c>
      <c r="H19" s="1018"/>
      <c r="I19" s="1043"/>
      <c r="J19" s="1043"/>
      <c r="K19" s="1043"/>
      <c r="L19" s="1043"/>
      <c r="M19" s="1043"/>
      <c r="N19" s="1043"/>
    </row>
    <row r="20" spans="1:14" s="1020" customFormat="1" ht="10.5" customHeight="1">
      <c r="A20" s="1038"/>
      <c r="B20" s="1039"/>
      <c r="C20" s="1040"/>
      <c r="D20" s="1041"/>
      <c r="E20" s="1039"/>
      <c r="F20" s="1039"/>
      <c r="G20" s="1032"/>
      <c r="H20" s="1019"/>
      <c r="I20" s="1037"/>
      <c r="J20" s="1037"/>
      <c r="K20" s="1037"/>
      <c r="L20" s="1037"/>
      <c r="M20" s="1037"/>
      <c r="N20" s="1037"/>
    </row>
    <row r="21" spans="1:14" s="1020" customFormat="1" ht="10.5" customHeight="1">
      <c r="A21" s="1034" t="s">
        <v>1014</v>
      </c>
      <c r="B21" s="1044">
        <f>SUM(B23:B27)</f>
        <v>1377167</v>
      </c>
      <c r="C21" s="1044">
        <f>SUM(C23:C27)</f>
        <v>0</v>
      </c>
      <c r="D21" s="1045">
        <f>SUM(B21:C21)</f>
        <v>1377167</v>
      </c>
      <c r="E21" s="1044">
        <f>E23+E24+E26+E27</f>
        <v>1498039</v>
      </c>
      <c r="F21" s="1044"/>
      <c r="G21" s="1046">
        <f>SUM(G23:G28)</f>
        <v>1498039</v>
      </c>
      <c r="H21" s="1019"/>
      <c r="I21" s="1037"/>
      <c r="J21" s="1037"/>
      <c r="K21" s="1037"/>
      <c r="L21" s="1037"/>
      <c r="M21" s="1037"/>
      <c r="N21" s="1037"/>
    </row>
    <row r="22" spans="1:14" s="1020" customFormat="1" ht="10.5" customHeight="1">
      <c r="A22" s="1034"/>
      <c r="B22" s="1044"/>
      <c r="C22" s="1047"/>
      <c r="D22" s="1041"/>
      <c r="E22" s="1044"/>
      <c r="F22" s="1044"/>
      <c r="G22" s="1046"/>
      <c r="H22" s="1019"/>
      <c r="I22" s="1037"/>
      <c r="J22" s="1037"/>
      <c r="K22" s="1037"/>
      <c r="L22" s="1037"/>
      <c r="M22" s="1037"/>
      <c r="N22" s="1037"/>
    </row>
    <row r="23" spans="1:14" s="1020" customFormat="1" ht="10.5" customHeight="1">
      <c r="A23" s="1048" t="s">
        <v>1015</v>
      </c>
      <c r="B23" s="1039">
        <v>2824</v>
      </c>
      <c r="C23" s="1040"/>
      <c r="D23" s="1041">
        <f>SUM(B23:C23)</f>
        <v>2824</v>
      </c>
      <c r="E23" s="1039">
        <v>2231</v>
      </c>
      <c r="F23" s="1039">
        <v>0</v>
      </c>
      <c r="G23" s="1046">
        <f>SUM(E23:F23)</f>
        <v>2231</v>
      </c>
      <c r="H23" s="1019"/>
      <c r="I23" s="1037"/>
      <c r="J23" s="1037"/>
      <c r="K23" s="1037"/>
      <c r="L23" s="1037"/>
      <c r="M23" s="1037"/>
      <c r="N23" s="1037"/>
    </row>
    <row r="24" spans="1:14" s="1020" customFormat="1" ht="10.5" customHeight="1">
      <c r="A24" s="1048" t="s">
        <v>1016</v>
      </c>
      <c r="B24" s="1039">
        <v>218932</v>
      </c>
      <c r="C24" s="1040"/>
      <c r="D24" s="1041">
        <f>SUM(B24:C24)</f>
        <v>218932</v>
      </c>
      <c r="E24" s="1039">
        <f>317669+2991</f>
        <v>320660</v>
      </c>
      <c r="F24" s="1039">
        <v>0</v>
      </c>
      <c r="G24" s="1046">
        <f>SUM(E24:F24)</f>
        <v>320660</v>
      </c>
      <c r="H24" s="1019"/>
      <c r="I24" s="1037"/>
      <c r="J24" s="1037"/>
      <c r="K24" s="1037"/>
      <c r="L24" s="1037"/>
      <c r="M24" s="1037"/>
      <c r="N24" s="1037"/>
    </row>
    <row r="25" spans="1:14" s="1020" customFormat="1" ht="10.5" customHeight="1">
      <c r="A25" s="1049" t="s">
        <v>1017</v>
      </c>
      <c r="B25" s="1050"/>
      <c r="C25" s="1051"/>
      <c r="D25" s="1041"/>
      <c r="E25" s="1050"/>
      <c r="F25" s="1050"/>
      <c r="G25" s="1046"/>
      <c r="H25" s="1019"/>
      <c r="I25" s="1037"/>
      <c r="J25" s="1037"/>
      <c r="K25" s="1037"/>
      <c r="L25" s="1037"/>
      <c r="M25" s="1037"/>
      <c r="N25" s="1037"/>
    </row>
    <row r="26" spans="1:14" s="1020" customFormat="1" ht="10.5" customHeight="1">
      <c r="A26" s="1049" t="s">
        <v>1018</v>
      </c>
      <c r="B26" s="1039">
        <v>1113135</v>
      </c>
      <c r="C26" s="1040"/>
      <c r="D26" s="1041">
        <f>SUM(B26:C26)</f>
        <v>1113135</v>
      </c>
      <c r="E26" s="1039">
        <f>1087237+58336</f>
        <v>1145573</v>
      </c>
      <c r="F26" s="1039">
        <v>0</v>
      </c>
      <c r="G26" s="1046">
        <f>SUM(E26:F26)</f>
        <v>1145573</v>
      </c>
      <c r="H26" s="1019"/>
      <c r="I26" s="1037"/>
      <c r="J26" s="1037"/>
      <c r="K26" s="1037"/>
      <c r="L26" s="1037"/>
      <c r="M26" s="1037"/>
      <c r="N26" s="1037"/>
    </row>
    <row r="27" spans="1:14" s="1020" customFormat="1" ht="10.5" customHeight="1">
      <c r="A27" s="1049" t="s">
        <v>1019</v>
      </c>
      <c r="B27" s="1039">
        <v>42276</v>
      </c>
      <c r="C27" s="1040"/>
      <c r="D27" s="1041">
        <f>SUM(B27:C27)</f>
        <v>42276</v>
      </c>
      <c r="E27" s="1039">
        <f>27029+149+2397</f>
        <v>29575</v>
      </c>
      <c r="F27" s="1039">
        <v>0</v>
      </c>
      <c r="G27" s="1046">
        <f>SUM(E27:F27)</f>
        <v>29575</v>
      </c>
      <c r="H27" s="1019"/>
      <c r="I27" s="1037"/>
      <c r="J27" s="1037"/>
      <c r="K27" s="1037"/>
      <c r="L27" s="1037"/>
      <c r="M27" s="1037"/>
      <c r="N27" s="1037"/>
    </row>
    <row r="28" spans="1:14" s="1020" customFormat="1" ht="10.5" customHeight="1" thickBot="1">
      <c r="A28" s="1034"/>
      <c r="B28" s="1040"/>
      <c r="C28" s="1040"/>
      <c r="D28" s="1041"/>
      <c r="E28" s="1039"/>
      <c r="F28" s="1039"/>
      <c r="G28" s="1052"/>
      <c r="H28" s="1018"/>
      <c r="I28" s="1037"/>
      <c r="J28" s="1037"/>
      <c r="K28" s="1037"/>
      <c r="L28" s="1037"/>
      <c r="M28" s="1037"/>
      <c r="N28" s="1037"/>
    </row>
    <row r="29" spans="1:14" s="1020" customFormat="1" ht="15" customHeight="1" thickBot="1" thickTop="1">
      <c r="A29" s="1053" t="s">
        <v>1020</v>
      </c>
      <c r="B29" s="1054">
        <f aca="true" t="shared" si="0" ref="B29:G29">SUM(B14,B21)</f>
        <v>8627327</v>
      </c>
      <c r="C29" s="1054">
        <f t="shared" si="0"/>
        <v>0</v>
      </c>
      <c r="D29" s="1055">
        <f t="shared" si="0"/>
        <v>8627327</v>
      </c>
      <c r="E29" s="1056">
        <f t="shared" si="0"/>
        <v>9300223</v>
      </c>
      <c r="F29" s="1056">
        <f t="shared" si="0"/>
        <v>0</v>
      </c>
      <c r="G29" s="1057">
        <f t="shared" si="0"/>
        <v>9300223</v>
      </c>
      <c r="H29" s="1058"/>
      <c r="I29" s="1059"/>
      <c r="J29" s="1059"/>
      <c r="K29" s="1059"/>
      <c r="L29" s="1059"/>
      <c r="M29" s="1059"/>
      <c r="N29" s="1059"/>
    </row>
    <row r="30" spans="1:14" s="1020" customFormat="1" ht="12" customHeight="1" thickTop="1">
      <c r="A30" s="1060"/>
      <c r="B30" s="1061"/>
      <c r="C30" s="1061"/>
      <c r="D30" s="1061"/>
      <c r="E30" s="1061"/>
      <c r="F30" s="1061"/>
      <c r="G30" s="1061"/>
      <c r="H30" s="1058"/>
      <c r="I30" s="1059"/>
      <c r="J30" s="1059"/>
      <c r="K30" s="1059"/>
      <c r="L30" s="1059"/>
      <c r="M30" s="1059"/>
      <c r="N30" s="1059"/>
    </row>
    <row r="31" spans="1:14" s="1020" customFormat="1" ht="12" customHeight="1" thickBot="1">
      <c r="A31" s="1062"/>
      <c r="B31" s="1063"/>
      <c r="C31" s="1063"/>
      <c r="D31" s="1063"/>
      <c r="E31" s="1063"/>
      <c r="F31" s="1063"/>
      <c r="G31" s="1063"/>
      <c r="H31" s="1058"/>
      <c r="I31" s="1059"/>
      <c r="J31" s="1059"/>
      <c r="K31" s="1059"/>
      <c r="L31" s="1059"/>
      <c r="M31" s="1059"/>
      <c r="N31" s="1059"/>
    </row>
    <row r="32" spans="1:14" s="1020" customFormat="1" ht="9.75" customHeight="1">
      <c r="A32" s="1017"/>
      <c r="B32" s="2180" t="s">
        <v>1003</v>
      </c>
      <c r="C32" s="2180" t="s">
        <v>1004</v>
      </c>
      <c r="D32" s="2180" t="s">
        <v>1021</v>
      </c>
      <c r="E32" s="2180" t="s">
        <v>1006</v>
      </c>
      <c r="F32" s="2180" t="s">
        <v>1007</v>
      </c>
      <c r="G32" s="2183" t="s">
        <v>1022</v>
      </c>
      <c r="H32" s="1018"/>
      <c r="I32" s="1019"/>
      <c r="J32" s="1019"/>
      <c r="K32" s="1019"/>
      <c r="L32" s="1019"/>
      <c r="M32" s="1019"/>
      <c r="N32" s="1019"/>
    </row>
    <row r="33" spans="1:14" s="1020" customFormat="1" ht="9.75" customHeight="1">
      <c r="A33" s="2188" t="s">
        <v>1023</v>
      </c>
      <c r="B33" s="2181"/>
      <c r="C33" s="2181"/>
      <c r="D33" s="2181"/>
      <c r="E33" s="2181"/>
      <c r="F33" s="2181"/>
      <c r="G33" s="2184"/>
      <c r="H33" s="1021"/>
      <c r="I33" s="1019"/>
      <c r="J33" s="1019"/>
      <c r="K33" s="1019"/>
      <c r="L33" s="1019"/>
      <c r="M33" s="1019"/>
      <c r="N33" s="1019"/>
    </row>
    <row r="34" spans="1:14" s="1020" customFormat="1" ht="9.75" customHeight="1">
      <c r="A34" s="2188"/>
      <c r="B34" s="2181"/>
      <c r="C34" s="2181"/>
      <c r="D34" s="2181"/>
      <c r="E34" s="2181"/>
      <c r="F34" s="2181"/>
      <c r="G34" s="2184"/>
      <c r="H34" s="1021"/>
      <c r="I34" s="1019"/>
      <c r="J34" s="1019"/>
      <c r="K34" s="1019"/>
      <c r="L34" s="1019"/>
      <c r="M34" s="1019"/>
      <c r="N34" s="1019"/>
    </row>
    <row r="35" spans="1:14" s="1020" customFormat="1" ht="10.5" customHeight="1" thickBot="1">
      <c r="A35" s="1022"/>
      <c r="B35" s="2182"/>
      <c r="C35" s="2182"/>
      <c r="D35" s="2182"/>
      <c r="E35" s="2182"/>
      <c r="F35" s="2182"/>
      <c r="G35" s="2185"/>
      <c r="H35" s="1018"/>
      <c r="I35" s="1019"/>
      <c r="J35" s="1019"/>
      <c r="K35" s="1019"/>
      <c r="L35" s="1019"/>
      <c r="M35" s="1019"/>
      <c r="N35" s="1019"/>
    </row>
    <row r="36" spans="1:13" s="1020" customFormat="1" ht="7.5" customHeight="1">
      <c r="A36" s="1017"/>
      <c r="B36" s="1064"/>
      <c r="C36" s="1064"/>
      <c r="D36" s="1064"/>
      <c r="E36" s="1064"/>
      <c r="F36" s="1065"/>
      <c r="G36" s="1066"/>
      <c r="M36" s="1018"/>
    </row>
    <row r="37" spans="1:13" s="1020" customFormat="1" ht="10.5" customHeight="1">
      <c r="A37" s="1034" t="s">
        <v>1024</v>
      </c>
      <c r="B37" s="1044">
        <f>SUM(B38,B39,B40)</f>
        <v>6340754</v>
      </c>
      <c r="C37" s="1044">
        <f>SUM(C38,C39,C40)</f>
        <v>0</v>
      </c>
      <c r="D37" s="1044">
        <f>SUM(D38,D39,D40)</f>
        <v>6340754</v>
      </c>
      <c r="E37" s="1044">
        <f>E38+E39+E40</f>
        <v>6948250</v>
      </c>
      <c r="F37" s="1044">
        <f>SUM(F38,F39,F40)</f>
        <v>0</v>
      </c>
      <c r="G37" s="1067">
        <f>SUM(G38,G39,G40)</f>
        <v>6948250</v>
      </c>
      <c r="M37" s="1018"/>
    </row>
    <row r="38" spans="1:13" s="1020" customFormat="1" ht="12.75" customHeight="1">
      <c r="A38" s="1049" t="s">
        <v>1025</v>
      </c>
      <c r="B38" s="1050">
        <v>6690707</v>
      </c>
      <c r="C38" s="1050"/>
      <c r="D38" s="1039">
        <f>SUM(B38:C38)</f>
        <v>6690707</v>
      </c>
      <c r="E38" s="1050">
        <v>6690706</v>
      </c>
      <c r="F38" s="1050">
        <v>0</v>
      </c>
      <c r="G38" s="1067">
        <f>SUM(E38:F38)</f>
        <v>6690706</v>
      </c>
      <c r="M38" s="1018"/>
    </row>
    <row r="39" spans="1:7" s="1020" customFormat="1" ht="11.25" customHeight="1">
      <c r="A39" s="1049" t="s">
        <v>1026</v>
      </c>
      <c r="B39" s="1050">
        <v>-349953</v>
      </c>
      <c r="C39" s="1050"/>
      <c r="D39" s="1039">
        <f>SUM(B39:C39)</f>
        <v>-349953</v>
      </c>
      <c r="E39" s="1050">
        <f>257557-13</f>
        <v>257544</v>
      </c>
      <c r="F39" s="1050">
        <v>0</v>
      </c>
      <c r="G39" s="1067">
        <f>SUM(E39:F39)</f>
        <v>257544</v>
      </c>
    </row>
    <row r="40" spans="1:7" s="1020" customFormat="1" ht="10.5" customHeight="1">
      <c r="A40" s="1049" t="s">
        <v>1046</v>
      </c>
      <c r="B40" s="1050">
        <v>0</v>
      </c>
      <c r="C40" s="1050"/>
      <c r="D40" s="1050">
        <f>B40</f>
        <v>0</v>
      </c>
      <c r="E40" s="1050"/>
      <c r="F40" s="1050"/>
      <c r="G40" s="1067">
        <f>SUM(E40:F40)</f>
        <v>0</v>
      </c>
    </row>
    <row r="41" spans="1:7" s="1020" customFormat="1" ht="10.5" customHeight="1">
      <c r="A41" s="1049"/>
      <c r="B41" s="1050"/>
      <c r="C41" s="1050"/>
      <c r="D41" s="1050"/>
      <c r="E41" s="1050"/>
      <c r="F41" s="1050"/>
      <c r="G41" s="1067"/>
    </row>
    <row r="42" spans="1:7" s="1020" customFormat="1" ht="10.5" customHeight="1">
      <c r="A42" s="1068" t="s">
        <v>1027</v>
      </c>
      <c r="B42" s="1030">
        <f>SUM(B43,B44)</f>
        <v>1139438</v>
      </c>
      <c r="C42" s="1030">
        <f>SUM(C43,C44)</f>
        <v>0</v>
      </c>
      <c r="D42" s="1030">
        <f>SUM(D43,D44)</f>
        <v>1139438</v>
      </c>
      <c r="E42" s="1030">
        <f>E43+E44</f>
        <v>1170594</v>
      </c>
      <c r="F42" s="1030">
        <f>SUM(F43,F44)</f>
        <v>0</v>
      </c>
      <c r="G42" s="1069">
        <f>SUM(G43:G45)</f>
        <v>1170594</v>
      </c>
    </row>
    <row r="43" spans="1:7" s="1020" customFormat="1" ht="17.25" customHeight="1">
      <c r="A43" s="1070" t="s">
        <v>1028</v>
      </c>
      <c r="B43" s="1050">
        <v>1139438</v>
      </c>
      <c r="C43" s="1071"/>
      <c r="D43" s="1039">
        <f>SUM(B43:C43)</f>
        <v>1139438</v>
      </c>
      <c r="E43" s="1050">
        <f>1109751+60843</f>
        <v>1170594</v>
      </c>
      <c r="F43" s="1071">
        <v>0</v>
      </c>
      <c r="G43" s="1069">
        <f>SUM(E43:F43)</f>
        <v>1170594</v>
      </c>
    </row>
    <row r="44" spans="1:7" s="1020" customFormat="1" ht="10.5" customHeight="1">
      <c r="A44" s="1049" t="s">
        <v>1029</v>
      </c>
      <c r="B44" s="1050">
        <v>0</v>
      </c>
      <c r="C44" s="1050"/>
      <c r="D44" s="1039">
        <v>0</v>
      </c>
      <c r="E44" s="1050">
        <v>0</v>
      </c>
      <c r="F44" s="1050"/>
      <c r="G44" s="1069">
        <f>SUM(E44:F44)</f>
        <v>0</v>
      </c>
    </row>
    <row r="45" spans="1:7" s="1020" customFormat="1" ht="10.5" customHeight="1">
      <c r="A45" s="1049"/>
      <c r="B45" s="1050"/>
      <c r="C45" s="1050"/>
      <c r="D45" s="1050"/>
      <c r="E45" s="1050"/>
      <c r="F45" s="1050"/>
      <c r="G45" s="1072"/>
    </row>
    <row r="46" spans="1:7" s="1020" customFormat="1" ht="10.5" customHeight="1">
      <c r="A46" s="1068" t="s">
        <v>1030</v>
      </c>
      <c r="B46" s="1030">
        <f>SUM(B48:B50)</f>
        <v>1147135</v>
      </c>
      <c r="C46" s="1030">
        <f>SUM(C48:C50)</f>
        <v>0</v>
      </c>
      <c r="D46" s="1030">
        <f>SUM(D48:D50)</f>
        <v>1147135</v>
      </c>
      <c r="E46" s="1030">
        <f>E48+E49+E50</f>
        <v>1181379</v>
      </c>
      <c r="F46" s="1030">
        <f>SUM(F48:F50)</f>
        <v>0</v>
      </c>
      <c r="G46" s="1069">
        <f>SUM(G48:G50)</f>
        <v>1181379</v>
      </c>
    </row>
    <row r="47" spans="1:7" s="1020" customFormat="1" ht="10.5" customHeight="1">
      <c r="A47" s="1049"/>
      <c r="B47" s="1050"/>
      <c r="C47" s="1050"/>
      <c r="D47" s="1050"/>
      <c r="E47" s="1050"/>
      <c r="F47" s="1050"/>
      <c r="G47" s="1069"/>
    </row>
    <row r="48" spans="1:7" s="1020" customFormat="1" ht="12" customHeight="1">
      <c r="A48" s="1049" t="s">
        <v>1031</v>
      </c>
      <c r="B48" s="1050">
        <v>952191</v>
      </c>
      <c r="C48" s="1050"/>
      <c r="D48" s="1039">
        <f>SUM(B48:C48)</f>
        <v>952191</v>
      </c>
      <c r="E48" s="1050">
        <v>863663</v>
      </c>
      <c r="F48" s="1050">
        <v>0</v>
      </c>
      <c r="G48" s="1069">
        <f>SUM(E48:F48)</f>
        <v>863663</v>
      </c>
    </row>
    <row r="49" spans="1:7" s="1020" customFormat="1" ht="12" customHeight="1">
      <c r="A49" s="1049" t="s">
        <v>1032</v>
      </c>
      <c r="B49" s="1050">
        <v>178971</v>
      </c>
      <c r="C49" s="1050"/>
      <c r="D49" s="1039">
        <f>SUM(B49:C49)</f>
        <v>178971</v>
      </c>
      <c r="E49" s="1050">
        <f>307597+3628+1937</f>
        <v>313162</v>
      </c>
      <c r="F49" s="1050">
        <v>0</v>
      </c>
      <c r="G49" s="1069">
        <f>SUM(E49:F49)</f>
        <v>313162</v>
      </c>
    </row>
    <row r="50" spans="1:7" s="1018" customFormat="1" ht="12" customHeight="1">
      <c r="A50" s="1049" t="s">
        <v>1033</v>
      </c>
      <c r="B50" s="1050">
        <v>15973</v>
      </c>
      <c r="C50" s="1050"/>
      <c r="D50" s="1039">
        <f>SUM(B50:C50)</f>
        <v>15973</v>
      </c>
      <c r="E50" s="1050">
        <f>4515+39</f>
        <v>4554</v>
      </c>
      <c r="F50" s="1050">
        <v>0</v>
      </c>
      <c r="G50" s="1069">
        <f>SUM(E50:F50)</f>
        <v>4554</v>
      </c>
    </row>
    <row r="51" spans="1:7" s="1020" customFormat="1" ht="10.5" customHeight="1" thickBot="1">
      <c r="A51" s="1049"/>
      <c r="B51" s="1050"/>
      <c r="C51" s="1050"/>
      <c r="D51" s="1050"/>
      <c r="E51" s="1050"/>
      <c r="F51" s="1050"/>
      <c r="G51" s="1072"/>
    </row>
    <row r="52" spans="1:7" s="1020" customFormat="1" ht="17.25" customHeight="1" thickBot="1" thickTop="1">
      <c r="A52" s="1073" t="s">
        <v>1034</v>
      </c>
      <c r="B52" s="1056">
        <f aca="true" t="shared" si="1" ref="B52:G52">SUM(B37,B42,B46)</f>
        <v>8627327</v>
      </c>
      <c r="C52" s="1056">
        <f t="shared" si="1"/>
        <v>0</v>
      </c>
      <c r="D52" s="1056">
        <f t="shared" si="1"/>
        <v>8627327</v>
      </c>
      <c r="E52" s="1056">
        <f t="shared" si="1"/>
        <v>9300223</v>
      </c>
      <c r="F52" s="1056">
        <f t="shared" si="1"/>
        <v>0</v>
      </c>
      <c r="G52" s="1074">
        <f t="shared" si="1"/>
        <v>9300223</v>
      </c>
    </row>
    <row r="53" ht="12" thickTop="1">
      <c r="A53" s="1075"/>
    </row>
    <row r="54" ht="11.25">
      <c r="A54" s="1075"/>
    </row>
    <row r="55" ht="11.25">
      <c r="A55" s="1075"/>
    </row>
    <row r="56" ht="11.25">
      <c r="A56" s="1075"/>
    </row>
    <row r="57" spans="1:7" ht="11.25">
      <c r="A57" s="2186" t="s">
        <v>1044</v>
      </c>
      <c r="B57" s="2186"/>
      <c r="C57" s="2186"/>
      <c r="D57" s="2186"/>
      <c r="E57" s="2186"/>
      <c r="F57" s="2186"/>
      <c r="G57" s="2186"/>
    </row>
    <row r="58" spans="1:7" ht="11.25">
      <c r="A58" s="2187" t="s">
        <v>1045</v>
      </c>
      <c r="B58" s="2187"/>
      <c r="C58" s="2187"/>
      <c r="D58" s="2187"/>
      <c r="E58" s="2187"/>
      <c r="F58" s="2187"/>
      <c r="G58" s="2187"/>
    </row>
    <row r="59" ht="11.25">
      <c r="A59" s="1075"/>
    </row>
    <row r="60" ht="11.25">
      <c r="A60" s="1075"/>
    </row>
    <row r="61" ht="11.25">
      <c r="A61" s="1075"/>
    </row>
    <row r="62" ht="11.25">
      <c r="A62" s="1075"/>
    </row>
  </sheetData>
  <sheetProtection/>
  <mergeCells count="16">
    <mergeCell ref="A57:G57"/>
    <mergeCell ref="A58:G58"/>
    <mergeCell ref="A33:A34"/>
    <mergeCell ref="A10:A11"/>
    <mergeCell ref="B9:B12"/>
    <mergeCell ref="C9:C12"/>
    <mergeCell ref="D9:D12"/>
    <mergeCell ref="E9:E12"/>
    <mergeCell ref="F9:F12"/>
    <mergeCell ref="G9:G12"/>
    <mergeCell ref="F32:F35"/>
    <mergeCell ref="G32:G35"/>
    <mergeCell ref="B32:B35"/>
    <mergeCell ref="C32:C35"/>
    <mergeCell ref="D32:D35"/>
    <mergeCell ref="E32:E3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J56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1076" customWidth="1"/>
    <col min="2" max="2" width="50.25390625" style="1076" customWidth="1"/>
    <col min="3" max="3" width="11.75390625" style="1076" customWidth="1"/>
    <col min="4" max="4" width="11.75390625" style="1077" customWidth="1"/>
    <col min="5" max="5" width="11.75390625" style="1076" customWidth="1"/>
    <col min="6" max="6" width="6.125" style="1076" customWidth="1"/>
    <col min="7" max="7" width="9.375" style="1076" customWidth="1"/>
    <col min="8" max="8" width="8.875" style="1076" customWidth="1"/>
    <col min="9" max="9" width="6.375" style="1076" customWidth="1"/>
    <col min="10" max="10" width="9.00390625" style="1076" customWidth="1"/>
    <col min="11" max="16384" width="9.125" style="1076" customWidth="1"/>
  </cols>
  <sheetData>
    <row r="4" ht="9.75" customHeight="1" thickBot="1">
      <c r="E4" s="1078" t="s">
        <v>301</v>
      </c>
    </row>
    <row r="5" spans="1:10" s="1081" customFormat="1" ht="16.5" customHeight="1" thickBot="1">
      <c r="A5" s="2191" t="s">
        <v>447</v>
      </c>
      <c r="B5" s="2193" t="s">
        <v>1047</v>
      </c>
      <c r="C5" s="1079" t="s">
        <v>1048</v>
      </c>
      <c r="D5" s="1079" t="s">
        <v>1049</v>
      </c>
      <c r="E5" s="2189" t="s">
        <v>990</v>
      </c>
      <c r="F5" s="1080"/>
      <c r="G5" s="1080"/>
      <c r="H5" s="1080"/>
      <c r="I5" s="1080"/>
      <c r="J5" s="1080"/>
    </row>
    <row r="6" spans="1:10" s="1081" customFormat="1" ht="19.5" customHeight="1" thickBot="1">
      <c r="A6" s="2192"/>
      <c r="B6" s="2194"/>
      <c r="C6" s="2195" t="s">
        <v>1050</v>
      </c>
      <c r="D6" s="2196"/>
      <c r="E6" s="2190"/>
      <c r="F6" s="1080"/>
      <c r="G6" s="1080"/>
      <c r="H6" s="1080"/>
      <c r="I6" s="1080"/>
      <c r="J6" s="1080"/>
    </row>
    <row r="7" spans="1:10" s="1081" customFormat="1" ht="15" customHeight="1">
      <c r="A7" s="1082" t="s">
        <v>1051</v>
      </c>
      <c r="B7" s="1083" t="s">
        <v>1052</v>
      </c>
      <c r="C7" s="1084">
        <v>449887</v>
      </c>
      <c r="D7" s="1084">
        <v>455784</v>
      </c>
      <c r="E7" s="1085">
        <v>421197</v>
      </c>
      <c r="F7" s="1086"/>
      <c r="G7" s="1086"/>
      <c r="H7" s="1086"/>
      <c r="I7" s="1086"/>
      <c r="J7" s="1086"/>
    </row>
    <row r="8" spans="1:10" s="1081" customFormat="1" ht="15" customHeight="1">
      <c r="A8" s="1082" t="s">
        <v>1053</v>
      </c>
      <c r="B8" s="1087" t="s">
        <v>1086</v>
      </c>
      <c r="C8" s="1088">
        <v>108597</v>
      </c>
      <c r="D8" s="1088">
        <v>111897</v>
      </c>
      <c r="E8" s="1089">
        <v>103246</v>
      </c>
      <c r="F8" s="1090"/>
      <c r="G8" s="1090"/>
      <c r="H8" s="1090"/>
      <c r="I8" s="1090"/>
      <c r="J8" s="1090"/>
    </row>
    <row r="9" spans="1:10" s="1081" customFormat="1" ht="15" customHeight="1">
      <c r="A9" s="1082" t="s">
        <v>1054</v>
      </c>
      <c r="B9" s="1091" t="s">
        <v>1087</v>
      </c>
      <c r="C9" s="1088">
        <v>443431</v>
      </c>
      <c r="D9" s="1088">
        <v>635934</v>
      </c>
      <c r="E9" s="1089">
        <v>502851</v>
      </c>
      <c r="F9" s="1090"/>
      <c r="G9" s="1090"/>
      <c r="H9" s="1090"/>
      <c r="I9" s="1090"/>
      <c r="J9" s="1090"/>
    </row>
    <row r="10" spans="1:10" s="1081" customFormat="1" ht="15" customHeight="1">
      <c r="A10" s="1082" t="s">
        <v>1055</v>
      </c>
      <c r="B10" s="1092" t="s">
        <v>1056</v>
      </c>
      <c r="C10" s="1093">
        <v>379682</v>
      </c>
      <c r="D10" s="1093">
        <f>405870+39489</f>
        <v>445359</v>
      </c>
      <c r="E10" s="1094">
        <f>401378+38730</f>
        <v>440108</v>
      </c>
      <c r="F10" s="1090"/>
      <c r="G10" s="1090"/>
      <c r="H10" s="1090"/>
      <c r="I10" s="1090"/>
      <c r="J10" s="1090"/>
    </row>
    <row r="11" spans="1:10" s="1081" customFormat="1" ht="15" customHeight="1">
      <c r="A11" s="1082" t="s">
        <v>1057</v>
      </c>
      <c r="B11" s="1092" t="s">
        <v>1058</v>
      </c>
      <c r="C11" s="1093">
        <f>9287+187860</f>
        <v>197147</v>
      </c>
      <c r="D11" s="1093">
        <f>12045+188004</f>
        <v>200049</v>
      </c>
      <c r="E11" s="1094">
        <f>9596+125039</f>
        <v>134635</v>
      </c>
      <c r="F11" s="1090"/>
      <c r="G11" s="1090"/>
      <c r="H11" s="1090"/>
      <c r="I11" s="1090"/>
      <c r="J11" s="1090"/>
    </row>
    <row r="12" spans="1:10" s="1081" customFormat="1" ht="15" customHeight="1">
      <c r="A12" s="1082" t="s">
        <v>1059</v>
      </c>
      <c r="B12" s="1091" t="s">
        <v>1060</v>
      </c>
      <c r="C12" s="1088"/>
      <c r="D12" s="1088"/>
      <c r="E12" s="1089"/>
      <c r="F12" s="1095"/>
      <c r="G12" s="1095"/>
      <c r="H12" s="1095"/>
      <c r="I12" s="1095"/>
      <c r="J12" s="1095"/>
    </row>
    <row r="13" spans="1:10" s="1081" customFormat="1" ht="15" customHeight="1">
      <c r="A13" s="1082" t="s">
        <v>1061</v>
      </c>
      <c r="B13" s="1091" t="s">
        <v>1062</v>
      </c>
      <c r="C13" s="1088">
        <v>316807</v>
      </c>
      <c r="D13" s="1088">
        <v>816157</v>
      </c>
      <c r="E13" s="1089">
        <v>660374</v>
      </c>
      <c r="F13" s="1090"/>
      <c r="G13" s="1090"/>
      <c r="H13" s="1090"/>
      <c r="I13" s="1090"/>
      <c r="J13" s="1090"/>
    </row>
    <row r="14" spans="1:10" s="1081" customFormat="1" ht="15" customHeight="1">
      <c r="A14" s="1082" t="s">
        <v>1063</v>
      </c>
      <c r="B14" s="1091" t="s">
        <v>1088</v>
      </c>
      <c r="C14" s="1088">
        <v>1441882</v>
      </c>
      <c r="D14" s="1088">
        <v>1031879</v>
      </c>
      <c r="E14" s="1089">
        <v>226391</v>
      </c>
      <c r="F14" s="1090"/>
      <c r="G14" s="1090"/>
      <c r="H14" s="1090"/>
      <c r="I14" s="1090"/>
      <c r="J14" s="1090"/>
    </row>
    <row r="15" spans="1:10" s="1081" customFormat="1" ht="15" customHeight="1">
      <c r="A15" s="1082" t="s">
        <v>1064</v>
      </c>
      <c r="B15" s="1091" t="s">
        <v>1065</v>
      </c>
      <c r="C15" s="1088">
        <v>5850</v>
      </c>
      <c r="D15" s="1088">
        <f>16874+397</f>
        <v>17271</v>
      </c>
      <c r="E15" s="1089">
        <f>13234+397</f>
        <v>13631</v>
      </c>
      <c r="F15" s="1090"/>
      <c r="G15" s="1090"/>
      <c r="H15" s="1090"/>
      <c r="I15" s="1090"/>
      <c r="J15" s="1090"/>
    </row>
    <row r="16" spans="1:10" s="1081" customFormat="1" ht="15" customHeight="1">
      <c r="A16" s="1082" t="s">
        <v>327</v>
      </c>
      <c r="B16" s="1091" t="s">
        <v>1066</v>
      </c>
      <c r="C16" s="1088"/>
      <c r="D16" s="1088">
        <v>159</v>
      </c>
      <c r="E16" s="1089"/>
      <c r="F16" s="1090"/>
      <c r="G16" s="1090"/>
      <c r="H16" s="1090"/>
      <c r="I16" s="1090"/>
      <c r="J16" s="1090"/>
    </row>
    <row r="17" spans="1:10" s="1081" customFormat="1" ht="15" customHeight="1">
      <c r="A17" s="1082" t="s">
        <v>328</v>
      </c>
      <c r="B17" s="1091" t="s">
        <v>1067</v>
      </c>
      <c r="C17" s="1088">
        <v>0</v>
      </c>
      <c r="D17" s="1088">
        <v>180</v>
      </c>
      <c r="E17" s="1089">
        <v>180</v>
      </c>
      <c r="F17" s="1090"/>
      <c r="G17" s="1090"/>
      <c r="H17" s="1090"/>
      <c r="I17" s="1090"/>
      <c r="J17" s="1090"/>
    </row>
    <row r="18" spans="1:10" s="1081" customFormat="1" ht="15" customHeight="1" thickBot="1">
      <c r="A18" s="1096" t="s">
        <v>382</v>
      </c>
      <c r="B18" s="1092" t="s">
        <v>1068</v>
      </c>
      <c r="C18" s="1093">
        <v>28008</v>
      </c>
      <c r="D18" s="1093">
        <f>-180+28218</f>
        <v>28038</v>
      </c>
      <c r="E18" s="1094">
        <v>4110</v>
      </c>
      <c r="F18" s="1090"/>
      <c r="G18" s="1090"/>
      <c r="H18" s="1090"/>
      <c r="I18" s="1090"/>
      <c r="J18" s="1090"/>
    </row>
    <row r="19" spans="1:10" s="1081" customFormat="1" ht="18" customHeight="1" thickBot="1">
      <c r="A19" s="1097" t="s">
        <v>407</v>
      </c>
      <c r="B19" s="1098" t="s">
        <v>12</v>
      </c>
      <c r="C19" s="1099">
        <f>SUM(C7:C18)</f>
        <v>3371291</v>
      </c>
      <c r="D19" s="1099">
        <f>SUM(D7:D18)</f>
        <v>3742707</v>
      </c>
      <c r="E19" s="1100">
        <f>SUM(E7:E18)</f>
        <v>2506723</v>
      </c>
      <c r="F19" s="1090"/>
      <c r="G19" s="1090"/>
      <c r="H19" s="1090"/>
      <c r="I19" s="1090"/>
      <c r="J19" s="1090"/>
    </row>
    <row r="20" spans="1:10" s="1081" customFormat="1" ht="15" customHeight="1">
      <c r="A20" s="1082" t="s">
        <v>411</v>
      </c>
      <c r="B20" s="1101" t="s">
        <v>13</v>
      </c>
      <c r="C20" s="1084">
        <v>978</v>
      </c>
      <c r="D20" s="1084">
        <v>978</v>
      </c>
      <c r="E20" s="1085">
        <v>978</v>
      </c>
      <c r="F20" s="1090"/>
      <c r="G20" s="1090"/>
      <c r="H20" s="1090"/>
      <c r="I20" s="1090"/>
      <c r="J20" s="1090"/>
    </row>
    <row r="21" spans="1:10" s="1081" customFormat="1" ht="15" customHeight="1">
      <c r="A21" s="1082" t="s">
        <v>412</v>
      </c>
      <c r="B21" s="1102" t="s">
        <v>14</v>
      </c>
      <c r="C21" s="1088"/>
      <c r="D21" s="1088"/>
      <c r="E21" s="1089">
        <v>31403</v>
      </c>
      <c r="F21" s="1090"/>
      <c r="G21" s="1090"/>
      <c r="H21" s="1090"/>
      <c r="I21" s="1090"/>
      <c r="J21" s="1090"/>
    </row>
    <row r="22" spans="1:10" s="1643" customFormat="1" ht="15" customHeight="1">
      <c r="A22" s="1638" t="s">
        <v>413</v>
      </c>
      <c r="B22" s="1639" t="s">
        <v>1095</v>
      </c>
      <c r="C22" s="1640"/>
      <c r="D22" s="1640"/>
      <c r="E22" s="1641"/>
      <c r="F22" s="1642"/>
      <c r="G22" s="1642"/>
      <c r="H22" s="1642"/>
      <c r="I22" s="1642"/>
      <c r="J22" s="1642"/>
    </row>
    <row r="23" spans="1:10" s="1081" customFormat="1" ht="15" customHeight="1">
      <c r="A23" s="1082" t="s">
        <v>414</v>
      </c>
      <c r="B23" s="1087" t="s">
        <v>1069</v>
      </c>
      <c r="C23" s="1088"/>
      <c r="D23" s="1088"/>
      <c r="E23" s="1089"/>
      <c r="F23" s="1090"/>
      <c r="G23" s="1090"/>
      <c r="H23" s="1090"/>
      <c r="I23" s="1090"/>
      <c r="J23" s="1090"/>
    </row>
    <row r="24" spans="1:10" s="1081" customFormat="1" ht="15" customHeight="1">
      <c r="A24" s="1096" t="s">
        <v>415</v>
      </c>
      <c r="B24" s="1092" t="s">
        <v>1070</v>
      </c>
      <c r="C24" s="1093"/>
      <c r="D24" s="1093"/>
      <c r="E24" s="1094">
        <v>0</v>
      </c>
      <c r="F24" s="1090"/>
      <c r="G24" s="1090"/>
      <c r="H24" s="1090"/>
      <c r="I24" s="1090"/>
      <c r="J24" s="1090"/>
    </row>
    <row r="25" spans="1:10" s="1081" customFormat="1" ht="15" customHeight="1" thickBot="1">
      <c r="A25" s="1644" t="s">
        <v>416</v>
      </c>
      <c r="B25" s="1645" t="s">
        <v>1089</v>
      </c>
      <c r="C25" s="1646"/>
      <c r="D25" s="1646"/>
      <c r="E25" s="1113"/>
      <c r="F25" s="1090"/>
      <c r="G25" s="1090"/>
      <c r="H25" s="1090"/>
      <c r="I25" s="1090"/>
      <c r="J25" s="1090"/>
    </row>
    <row r="26" spans="1:10" s="1081" customFormat="1" ht="18" customHeight="1" thickBot="1">
      <c r="A26" s="1097" t="s">
        <v>599</v>
      </c>
      <c r="B26" s="1103" t="s">
        <v>1090</v>
      </c>
      <c r="C26" s="1099">
        <f>C20+C21+C23+C24+C25</f>
        <v>978</v>
      </c>
      <c r="D26" s="1099">
        <f>D20+D21+D23+D24+D25</f>
        <v>978</v>
      </c>
      <c r="E26" s="1100">
        <f>E20+E21+E23+E24+E25</f>
        <v>32381</v>
      </c>
      <c r="F26" s="1090"/>
      <c r="G26" s="1090"/>
      <c r="H26" s="1090"/>
      <c r="I26" s="1090"/>
      <c r="J26" s="1090"/>
    </row>
    <row r="27" spans="1:10" s="1081" customFormat="1" ht="18" customHeight="1" thickBot="1">
      <c r="A27" s="1097" t="s">
        <v>417</v>
      </c>
      <c r="B27" s="1103" t="s">
        <v>1091</v>
      </c>
      <c r="C27" s="1099">
        <f>C19+C26</f>
        <v>3372269</v>
      </c>
      <c r="D27" s="1099">
        <f>D19+D26</f>
        <v>3743685</v>
      </c>
      <c r="E27" s="1100">
        <f>E19+E26</f>
        <v>2539104</v>
      </c>
      <c r="F27" s="1090"/>
      <c r="G27" s="1090"/>
      <c r="H27" s="1090"/>
      <c r="I27" s="1090"/>
      <c r="J27" s="1090"/>
    </row>
    <row r="28" spans="1:10" s="1081" customFormat="1" ht="15" customHeight="1">
      <c r="A28" s="1082" t="s">
        <v>600</v>
      </c>
      <c r="B28" s="1104" t="s">
        <v>1071</v>
      </c>
      <c r="C28" s="1084">
        <v>316090</v>
      </c>
      <c r="D28" s="1084">
        <v>311603</v>
      </c>
      <c r="E28" s="1085"/>
      <c r="F28" s="1090"/>
      <c r="G28" s="1090"/>
      <c r="H28" s="1090"/>
      <c r="I28" s="1090"/>
      <c r="J28" s="1090"/>
    </row>
    <row r="29" spans="1:10" s="1081" customFormat="1" ht="15" customHeight="1" thickBot="1">
      <c r="A29" s="1096" t="s">
        <v>586</v>
      </c>
      <c r="B29" s="1092" t="s">
        <v>1072</v>
      </c>
      <c r="C29" s="1093"/>
      <c r="D29" s="1093"/>
      <c r="E29" s="1094">
        <v>-12701</v>
      </c>
      <c r="F29" s="1090"/>
      <c r="G29" s="1090"/>
      <c r="H29" s="1090"/>
      <c r="I29" s="1090"/>
      <c r="J29" s="1090"/>
    </row>
    <row r="30" spans="1:10" s="1081" customFormat="1" ht="18" customHeight="1" thickBot="1" thickTop="1">
      <c r="A30" s="1105" t="s">
        <v>601</v>
      </c>
      <c r="B30" s="1106" t="s">
        <v>1092</v>
      </c>
      <c r="C30" s="1107">
        <f>SUM(C27:C29)</f>
        <v>3688359</v>
      </c>
      <c r="D30" s="1107">
        <f>SUM(D27:D29)</f>
        <v>4055288</v>
      </c>
      <c r="E30" s="1108">
        <f>SUM(E27:E29)</f>
        <v>2526403</v>
      </c>
      <c r="F30" s="1090"/>
      <c r="G30" s="1090"/>
      <c r="H30" s="1090"/>
      <c r="I30" s="1090"/>
      <c r="J30" s="1090"/>
    </row>
    <row r="31" spans="1:10" s="1081" customFormat="1" ht="15" customHeight="1" thickTop="1">
      <c r="A31" s="1082" t="s">
        <v>602</v>
      </c>
      <c r="B31" s="1104" t="s">
        <v>1093</v>
      </c>
      <c r="C31" s="1084">
        <f>957597+107842</f>
        <v>1065439</v>
      </c>
      <c r="D31" s="1084">
        <f>964321+209972</f>
        <v>1174293</v>
      </c>
      <c r="E31" s="1085">
        <f>1026236+237155</f>
        <v>1263391</v>
      </c>
      <c r="F31" s="1090"/>
      <c r="G31" s="1090"/>
      <c r="H31" s="1090"/>
      <c r="I31" s="1090"/>
      <c r="J31" s="1090"/>
    </row>
    <row r="32" spans="1:10" s="1081" customFormat="1" ht="15" customHeight="1">
      <c r="A32" s="1082" t="s">
        <v>603</v>
      </c>
      <c r="B32" s="1091" t="s">
        <v>1073</v>
      </c>
      <c r="C32" s="1088">
        <v>301288</v>
      </c>
      <c r="D32" s="1088">
        <f>221328+44949</f>
        <v>266277</v>
      </c>
      <c r="E32" s="1089">
        <f>169304+42062</f>
        <v>211366</v>
      </c>
      <c r="F32" s="1090"/>
      <c r="G32" s="1090"/>
      <c r="H32" s="1090"/>
      <c r="I32" s="1090"/>
      <c r="J32" s="1090"/>
    </row>
    <row r="33" spans="1:10" s="1081" customFormat="1" ht="15" customHeight="1">
      <c r="A33" s="1082" t="s">
        <v>710</v>
      </c>
      <c r="B33" s="1091" t="s">
        <v>1074</v>
      </c>
      <c r="C33" s="1088"/>
      <c r="D33" s="1088">
        <v>2576</v>
      </c>
      <c r="E33" s="1089">
        <v>2882</v>
      </c>
      <c r="F33" s="1090"/>
      <c r="G33" s="1090"/>
      <c r="H33" s="1090"/>
      <c r="I33" s="1090"/>
      <c r="J33" s="1090"/>
    </row>
    <row r="34" spans="1:10" s="1081" customFormat="1" ht="15" customHeight="1">
      <c r="A34" s="1082" t="s">
        <v>604</v>
      </c>
      <c r="B34" s="1091" t="s">
        <v>1075</v>
      </c>
      <c r="C34" s="1088">
        <v>45050</v>
      </c>
      <c r="D34" s="1088">
        <v>71209</v>
      </c>
      <c r="E34" s="1089">
        <v>69581</v>
      </c>
      <c r="F34" s="1090"/>
      <c r="G34" s="1090"/>
      <c r="H34" s="1090"/>
      <c r="I34" s="1090"/>
      <c r="J34" s="1090"/>
    </row>
    <row r="35" spans="1:10" s="1643" customFormat="1" ht="15" customHeight="1">
      <c r="A35" s="1638" t="s">
        <v>605</v>
      </c>
      <c r="B35" s="1647" t="s">
        <v>1094</v>
      </c>
      <c r="C35" s="1640">
        <v>0</v>
      </c>
      <c r="D35" s="1640">
        <v>523</v>
      </c>
      <c r="E35" s="1641">
        <v>1672</v>
      </c>
      <c r="F35" s="1642"/>
      <c r="G35" s="1642"/>
      <c r="H35" s="1642"/>
      <c r="I35" s="1642"/>
      <c r="J35" s="1642"/>
    </row>
    <row r="36" spans="1:10" s="1081" customFormat="1" ht="15" customHeight="1">
      <c r="A36" s="1082" t="s">
        <v>606</v>
      </c>
      <c r="B36" s="1091" t="s">
        <v>1076</v>
      </c>
      <c r="C36" s="1088">
        <f>908149</f>
        <v>908149</v>
      </c>
      <c r="D36" s="1088">
        <f>944191+1404</f>
        <v>945595</v>
      </c>
      <c r="E36" s="1089">
        <f>623272+1404</f>
        <v>624676</v>
      </c>
      <c r="F36" s="1090"/>
      <c r="G36" s="1090"/>
      <c r="H36" s="1090"/>
      <c r="I36" s="1090"/>
      <c r="J36" s="1090"/>
    </row>
    <row r="37" spans="1:10" s="1081" customFormat="1" ht="14.25" customHeight="1">
      <c r="A37" s="1082" t="s">
        <v>607</v>
      </c>
      <c r="B37" s="1087" t="s">
        <v>1077</v>
      </c>
      <c r="C37" s="1088"/>
      <c r="D37" s="1088">
        <v>210</v>
      </c>
      <c r="E37" s="1089">
        <v>486</v>
      </c>
      <c r="F37" s="1090"/>
      <c r="G37" s="1090"/>
      <c r="H37" s="1090"/>
      <c r="I37" s="1090"/>
      <c r="J37" s="1090"/>
    </row>
    <row r="38" spans="1:10" s="1081" customFormat="1" ht="15" customHeight="1">
      <c r="A38" s="1082" t="s">
        <v>608</v>
      </c>
      <c r="B38" s="1091" t="s">
        <v>1078</v>
      </c>
      <c r="C38" s="1088">
        <v>223539</v>
      </c>
      <c r="D38" s="1088">
        <v>389771</v>
      </c>
      <c r="E38" s="1089">
        <v>389771</v>
      </c>
      <c r="F38" s="1090"/>
      <c r="G38" s="1090"/>
      <c r="H38" s="1090"/>
      <c r="I38" s="1090"/>
      <c r="J38" s="1090"/>
    </row>
    <row r="39" spans="1:10" s="1643" customFormat="1" ht="15" customHeight="1">
      <c r="A39" s="1638" t="s">
        <v>609</v>
      </c>
      <c r="B39" s="1647" t="s">
        <v>1096</v>
      </c>
      <c r="C39" s="1640">
        <v>223539</v>
      </c>
      <c r="D39" s="1640">
        <v>389771</v>
      </c>
      <c r="E39" s="1641">
        <v>389771</v>
      </c>
      <c r="F39" s="1642"/>
      <c r="G39" s="1642"/>
      <c r="H39" s="1642"/>
      <c r="I39" s="1642"/>
      <c r="J39" s="1642"/>
    </row>
    <row r="40" spans="1:10" s="1081" customFormat="1" ht="15" customHeight="1">
      <c r="A40" s="1082" t="s">
        <v>587</v>
      </c>
      <c r="B40" s="1091" t="s">
        <v>1079</v>
      </c>
      <c r="C40" s="1088"/>
      <c r="D40" s="1088"/>
      <c r="E40" s="1089"/>
      <c r="F40" s="1090"/>
      <c r="G40" s="1090"/>
      <c r="H40" s="1090"/>
      <c r="I40" s="1090"/>
      <c r="J40" s="1090"/>
    </row>
    <row r="41" spans="1:5" ht="15" customHeight="1" thickBot="1">
      <c r="A41" s="1096" t="s">
        <v>610</v>
      </c>
      <c r="B41" s="1092" t="s">
        <v>1080</v>
      </c>
      <c r="C41" s="1093">
        <v>31361</v>
      </c>
      <c r="D41" s="1093">
        <v>31361</v>
      </c>
      <c r="E41" s="1094">
        <v>8107</v>
      </c>
    </row>
    <row r="42" spans="1:5" ht="22.5" thickBot="1">
      <c r="A42" s="1097" t="s">
        <v>611</v>
      </c>
      <c r="B42" s="1109" t="s">
        <v>1097</v>
      </c>
      <c r="C42" s="1099">
        <f>C31+C32+C33+C34+C36+C37+C38+C40+C41</f>
        <v>2574826</v>
      </c>
      <c r="D42" s="1099">
        <f>D31+D32+D33+D34+D36+D37+D38+D40+D41</f>
        <v>2881292</v>
      </c>
      <c r="E42" s="1100">
        <f>E31+E32+E33+E34+E36+E37+E38+E40+E41</f>
        <v>2570260</v>
      </c>
    </row>
    <row r="43" spans="1:5" ht="15" customHeight="1">
      <c r="A43" s="1082" t="s">
        <v>612</v>
      </c>
      <c r="B43" s="1110" t="s">
        <v>15</v>
      </c>
      <c r="C43" s="1084"/>
      <c r="D43" s="1084"/>
      <c r="E43" s="1085"/>
    </row>
    <row r="44" spans="1:5" ht="15" customHeight="1">
      <c r="A44" s="1082" t="s">
        <v>613</v>
      </c>
      <c r="B44" s="1111" t="s">
        <v>16</v>
      </c>
      <c r="C44" s="1088"/>
      <c r="D44" s="1088">
        <v>30290</v>
      </c>
      <c r="E44" s="1089"/>
    </row>
    <row r="45" spans="1:5" s="1649" customFormat="1" ht="15" customHeight="1">
      <c r="A45" s="1638" t="s">
        <v>615</v>
      </c>
      <c r="B45" s="1648" t="s">
        <v>1098</v>
      </c>
      <c r="C45" s="1640"/>
      <c r="D45" s="1640"/>
      <c r="E45" s="1641"/>
    </row>
    <row r="46" spans="1:5" ht="15" customHeight="1">
      <c r="A46" s="1082" t="s">
        <v>614</v>
      </c>
      <c r="B46" s="1087" t="s">
        <v>1081</v>
      </c>
      <c r="C46" s="1088"/>
      <c r="D46" s="1088"/>
      <c r="E46" s="1089"/>
    </row>
    <row r="47" spans="1:5" ht="15" customHeight="1" thickBot="1">
      <c r="A47" s="1096" t="s">
        <v>789</v>
      </c>
      <c r="B47" s="1112" t="s">
        <v>1</v>
      </c>
      <c r="C47" s="1093"/>
      <c r="D47" s="1093"/>
      <c r="E47" s="1113">
        <v>0</v>
      </c>
    </row>
    <row r="48" spans="1:5" ht="12" thickBot="1">
      <c r="A48" s="1097" t="s">
        <v>2</v>
      </c>
      <c r="B48" s="1103" t="s">
        <v>17</v>
      </c>
      <c r="C48" s="1099">
        <f>C43+C44+C46+C47</f>
        <v>0</v>
      </c>
      <c r="D48" s="1099">
        <f>D43+D44+D46+D47</f>
        <v>30290</v>
      </c>
      <c r="E48" s="1100">
        <f>E43+E44+E46+E47</f>
        <v>0</v>
      </c>
    </row>
    <row r="49" spans="1:5" ht="12" thickBot="1">
      <c r="A49" s="1097" t="s">
        <v>794</v>
      </c>
      <c r="B49" s="1103" t="s">
        <v>18</v>
      </c>
      <c r="C49" s="1099">
        <f>SUM(C42,C48)</f>
        <v>2574826</v>
      </c>
      <c r="D49" s="1099">
        <f>SUM(D42,D48)</f>
        <v>2911582</v>
      </c>
      <c r="E49" s="1100">
        <f>SUM(E42,E48)</f>
        <v>2570260</v>
      </c>
    </row>
    <row r="50" spans="1:5" ht="15" customHeight="1">
      <c r="A50" s="1082" t="s">
        <v>847</v>
      </c>
      <c r="B50" s="1104" t="s">
        <v>3</v>
      </c>
      <c r="C50" s="1084">
        <v>1113533</v>
      </c>
      <c r="D50" s="1084">
        <f>1143706</f>
        <v>1143706</v>
      </c>
      <c r="E50" s="1085">
        <f>135514</f>
        <v>135514</v>
      </c>
    </row>
    <row r="51" spans="1:5" ht="15" customHeight="1" thickBot="1">
      <c r="A51" s="1096" t="s">
        <v>4</v>
      </c>
      <c r="B51" s="1092" t="s">
        <v>6</v>
      </c>
      <c r="C51" s="1093"/>
      <c r="D51" s="1093"/>
      <c r="E51" s="1094">
        <v>-11431</v>
      </c>
    </row>
    <row r="52" spans="1:5" ht="12.75" thickBot="1" thickTop="1">
      <c r="A52" s="1105" t="s">
        <v>5</v>
      </c>
      <c r="B52" s="1106" t="s">
        <v>1099</v>
      </c>
      <c r="C52" s="1107">
        <f>SUM(C49:C51)</f>
        <v>3688359</v>
      </c>
      <c r="D52" s="1107">
        <f>SUM(D49:D51)</f>
        <v>4055288</v>
      </c>
      <c r="E52" s="1108">
        <f>SUM(E49:E51)</f>
        <v>2694343</v>
      </c>
    </row>
    <row r="53" spans="1:5" ht="28.5" customHeight="1" thickBot="1" thickTop="1">
      <c r="A53" s="1105" t="s">
        <v>7</v>
      </c>
      <c r="B53" s="1114" t="s">
        <v>9</v>
      </c>
      <c r="C53" s="1107">
        <f>C42-C19</f>
        <v>-796465</v>
      </c>
      <c r="D53" s="1107">
        <f>D42-D19</f>
        <v>-861415</v>
      </c>
      <c r="E53" s="1108">
        <f>E42-E19</f>
        <v>63537</v>
      </c>
    </row>
    <row r="54" spans="1:5" ht="36.75" customHeight="1" thickBot="1" thickTop="1">
      <c r="A54" s="1115" t="s">
        <v>8</v>
      </c>
      <c r="B54" s="1116" t="s">
        <v>1100</v>
      </c>
      <c r="C54" s="1117">
        <f>C53+C50-C28</f>
        <v>978</v>
      </c>
      <c r="D54" s="1117">
        <f>D53+D50-D28</f>
        <v>-29312</v>
      </c>
      <c r="E54" s="1118">
        <f>E53+E50-E28</f>
        <v>199051</v>
      </c>
    </row>
    <row r="55" spans="1:5" ht="15" customHeight="1" thickBot="1">
      <c r="A55" s="1097" t="s">
        <v>10</v>
      </c>
      <c r="B55" s="1103" t="s">
        <v>1101</v>
      </c>
      <c r="C55" s="1099">
        <f>C48-C26</f>
        <v>-978</v>
      </c>
      <c r="D55" s="1099">
        <f>D48-D26</f>
        <v>29312</v>
      </c>
      <c r="E55" s="1100">
        <f>E48-E26</f>
        <v>-32381</v>
      </c>
    </row>
    <row r="56" spans="1:5" ht="15" customHeight="1" thickBot="1">
      <c r="A56" s="1097" t="s">
        <v>11</v>
      </c>
      <c r="B56" s="1103" t="s">
        <v>1102</v>
      </c>
      <c r="C56" s="1099">
        <f>C51-C29</f>
        <v>0</v>
      </c>
      <c r="D56" s="1099">
        <f>D51-D29</f>
        <v>0</v>
      </c>
      <c r="E56" s="1100">
        <f>E51-E29</f>
        <v>1270</v>
      </c>
    </row>
  </sheetData>
  <sheetProtection/>
  <mergeCells count="4">
    <mergeCell ref="E5:E6"/>
    <mergeCell ref="A5:A6"/>
    <mergeCell ref="B5:B6"/>
    <mergeCell ref="C6:D6"/>
  </mergeCells>
  <printOptions/>
  <pageMargins left="0.7874015748031497" right="0.7874015748031497" top="0.1968503937007874" bottom="0.1968503937007874" header="0.5118110236220472" footer="0.5118110236220472"/>
  <pageSetup horizontalDpi="1200" verticalDpi="12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8:I52"/>
  <sheetViews>
    <sheetView showGridLines="0" zoomScaleSheetLayoutView="100" zoomScalePageLayoutView="0" workbookViewId="0" topLeftCell="A1">
      <selection activeCell="E23" sqref="E23:E24"/>
    </sheetView>
  </sheetViews>
  <sheetFormatPr defaultColWidth="9.00390625" defaultRowHeight="12.75"/>
  <cols>
    <col min="1" max="1" width="4.25390625" style="1119" customWidth="1"/>
    <col min="2" max="2" width="23.00390625" style="1119" customWidth="1"/>
    <col min="3" max="3" width="9.375" style="1120" customWidth="1"/>
    <col min="4" max="4" width="8.00390625" style="1120" customWidth="1"/>
    <col min="5" max="5" width="10.125" style="1120" customWidth="1"/>
    <col min="6" max="7" width="9.25390625" style="1120" customWidth="1"/>
    <col min="8" max="8" width="10.875" style="1120" customWidth="1"/>
    <col min="9" max="9" width="9.00390625" style="1119" customWidth="1"/>
    <col min="10" max="16384" width="9.125" style="1119" customWidth="1"/>
  </cols>
  <sheetData>
    <row r="7" ht="10.5" customHeight="1"/>
    <row r="8" ht="10.5" customHeight="1">
      <c r="H8" s="1120" t="s">
        <v>301</v>
      </c>
    </row>
    <row r="9" ht="0.75" customHeight="1" thickBot="1">
      <c r="H9" s="1121" t="s">
        <v>301</v>
      </c>
    </row>
    <row r="10" spans="1:8" ht="14.25" customHeight="1">
      <c r="A10" s="2218" t="s">
        <v>19</v>
      </c>
      <c r="B10" s="2227" t="s">
        <v>334</v>
      </c>
      <c r="C10" s="2221" t="s">
        <v>1003</v>
      </c>
      <c r="D10" s="2221" t="s">
        <v>1004</v>
      </c>
      <c r="E10" s="2221" t="s">
        <v>1005</v>
      </c>
      <c r="F10" s="2221" t="s">
        <v>1006</v>
      </c>
      <c r="G10" s="2221" t="s">
        <v>1007</v>
      </c>
      <c r="H10" s="2224" t="s">
        <v>1008</v>
      </c>
    </row>
    <row r="11" spans="1:8" ht="14.25" customHeight="1">
      <c r="A11" s="2219"/>
      <c r="B11" s="2228"/>
      <c r="C11" s="2222"/>
      <c r="D11" s="2222"/>
      <c r="E11" s="2222"/>
      <c r="F11" s="2222"/>
      <c r="G11" s="2222"/>
      <c r="H11" s="2225"/>
    </row>
    <row r="12" spans="1:8" ht="9.75" customHeight="1">
      <c r="A12" s="2219"/>
      <c r="B12" s="2228"/>
      <c r="C12" s="2222"/>
      <c r="D12" s="2222"/>
      <c r="E12" s="2222"/>
      <c r="F12" s="2222"/>
      <c r="G12" s="2222"/>
      <c r="H12" s="2225"/>
    </row>
    <row r="13" spans="1:8" ht="18" customHeight="1" thickBot="1">
      <c r="A13" s="2220"/>
      <c r="B13" s="2229"/>
      <c r="C13" s="2223"/>
      <c r="D13" s="2223"/>
      <c r="E13" s="2223"/>
      <c r="F13" s="2223"/>
      <c r="G13" s="2223"/>
      <c r="H13" s="2226"/>
    </row>
    <row r="14" spans="1:9" ht="21.75" customHeight="1">
      <c r="A14" s="1122">
        <v>1</v>
      </c>
      <c r="B14" s="1123" t="s">
        <v>20</v>
      </c>
      <c r="C14" s="1124">
        <v>1112677</v>
      </c>
      <c r="D14" s="1124"/>
      <c r="E14" s="1124">
        <f>SUM(C14:D14)</f>
        <v>1112677</v>
      </c>
      <c r="F14" s="1124">
        <v>1145103</v>
      </c>
      <c r="G14" s="1124"/>
      <c r="H14" s="1125">
        <f>SUM(F14:G14)</f>
        <v>1145103</v>
      </c>
      <c r="I14" s="1126"/>
    </row>
    <row r="15" spans="1:8" ht="5.25" customHeight="1">
      <c r="A15" s="1127"/>
      <c r="B15" s="1128"/>
      <c r="C15" s="1129"/>
      <c r="D15" s="1129"/>
      <c r="E15" s="1129"/>
      <c r="F15" s="1129"/>
      <c r="G15" s="1129"/>
      <c r="H15" s="1130"/>
    </row>
    <row r="16" spans="1:9" ht="22.5" customHeight="1">
      <c r="A16" s="1127">
        <v>2</v>
      </c>
      <c r="B16" s="1131" t="s">
        <v>21</v>
      </c>
      <c r="C16" s="1129">
        <v>0</v>
      </c>
      <c r="D16" s="1129"/>
      <c r="E16" s="1129">
        <v>0</v>
      </c>
      <c r="F16" s="1129">
        <v>0</v>
      </c>
      <c r="G16" s="1129"/>
      <c r="H16" s="1130">
        <f>F16</f>
        <v>0</v>
      </c>
      <c r="I16" s="1126"/>
    </row>
    <row r="17" spans="1:8" ht="0.75" customHeight="1">
      <c r="A17" s="1127"/>
      <c r="B17" s="1128"/>
      <c r="C17" s="1129">
        <v>0</v>
      </c>
      <c r="D17" s="1129"/>
      <c r="E17" s="1129"/>
      <c r="F17" s="1129"/>
      <c r="G17" s="1129"/>
      <c r="H17" s="1130"/>
    </row>
    <row r="18" spans="1:8" ht="10.5" customHeight="1">
      <c r="A18" s="1132"/>
      <c r="B18" s="1133" t="s">
        <v>22</v>
      </c>
      <c r="C18" s="2205">
        <v>26761</v>
      </c>
      <c r="D18" s="1134"/>
      <c r="E18" s="2205">
        <f>SUM(C18:D20)</f>
        <v>26761</v>
      </c>
      <c r="F18" s="2205">
        <v>25491</v>
      </c>
      <c r="G18" s="1134"/>
      <c r="H18" s="1135"/>
    </row>
    <row r="19" spans="1:9" ht="12.75" customHeight="1">
      <c r="A19" s="1136">
        <v>3</v>
      </c>
      <c r="B19" s="1137" t="s">
        <v>23</v>
      </c>
      <c r="C19" s="2213"/>
      <c r="D19" s="1129"/>
      <c r="E19" s="2213"/>
      <c r="F19" s="2213"/>
      <c r="G19" s="1129"/>
      <c r="H19" s="1130">
        <f>SUM(F18:G20)</f>
        <v>25491</v>
      </c>
      <c r="I19" s="1126"/>
    </row>
    <row r="20" spans="1:8" ht="10.5" customHeight="1">
      <c r="A20" s="1138" t="s">
        <v>24</v>
      </c>
      <c r="B20" s="1139" t="s">
        <v>25</v>
      </c>
      <c r="C20" s="2204"/>
      <c r="D20" s="1140"/>
      <c r="E20" s="2204"/>
      <c r="F20" s="2204"/>
      <c r="G20" s="1140"/>
      <c r="H20" s="1141"/>
    </row>
    <row r="21" spans="1:9" ht="14.25" customHeight="1">
      <c r="A21" s="1132">
        <v>4</v>
      </c>
      <c r="B21" s="1133" t="s">
        <v>26</v>
      </c>
      <c r="C21" s="2205">
        <v>986939</v>
      </c>
      <c r="D21" s="1134"/>
      <c r="E21" s="2205">
        <v>986939</v>
      </c>
      <c r="F21" s="2205">
        <v>1015815</v>
      </c>
      <c r="G21" s="2205"/>
      <c r="H21" s="2210">
        <f>F21+G21</f>
        <v>1015815</v>
      </c>
      <c r="I21" s="1126"/>
    </row>
    <row r="22" spans="1:8" ht="12" customHeight="1">
      <c r="A22" s="1136" t="s">
        <v>24</v>
      </c>
      <c r="B22" s="1137" t="s">
        <v>27</v>
      </c>
      <c r="C22" s="2204"/>
      <c r="D22" s="1129"/>
      <c r="E22" s="2232"/>
      <c r="F22" s="2204"/>
      <c r="G22" s="2199"/>
      <c r="H22" s="2202"/>
    </row>
    <row r="23" spans="1:8" ht="24" customHeight="1">
      <c r="A23" s="1132">
        <v>5</v>
      </c>
      <c r="B23" s="1142" t="s">
        <v>28</v>
      </c>
      <c r="C23" s="2205">
        <v>0</v>
      </c>
      <c r="D23" s="1134"/>
      <c r="E23" s="2205">
        <v>0</v>
      </c>
      <c r="F23" s="2205">
        <v>0</v>
      </c>
      <c r="G23" s="1134"/>
      <c r="H23" s="2210">
        <v>0</v>
      </c>
    </row>
    <row r="24" spans="1:9" s="1145" customFormat="1" ht="14.25" customHeight="1" thickBot="1">
      <c r="A24" s="1136" t="s">
        <v>24</v>
      </c>
      <c r="B24" s="1137" t="s">
        <v>29</v>
      </c>
      <c r="C24" s="2230"/>
      <c r="D24" s="1129"/>
      <c r="E24" s="2230"/>
      <c r="F24" s="2230"/>
      <c r="G24" s="1129"/>
      <c r="H24" s="2231"/>
      <c r="I24" s="1144"/>
    </row>
    <row r="25" spans="1:9" s="1145" customFormat="1" ht="10.5" customHeight="1">
      <c r="A25" s="1146">
        <v>6</v>
      </c>
      <c r="B25" s="1147" t="s">
        <v>30</v>
      </c>
      <c r="C25" s="1148"/>
      <c r="D25" s="1148"/>
      <c r="E25" s="1148"/>
      <c r="F25" s="1148"/>
      <c r="G25" s="1148"/>
      <c r="H25" s="1149"/>
      <c r="I25" s="1150"/>
    </row>
    <row r="26" spans="1:9" s="1145" customFormat="1" ht="10.5" customHeight="1">
      <c r="A26" s="1151" t="s">
        <v>31</v>
      </c>
      <c r="B26" s="1152" t="s">
        <v>32</v>
      </c>
      <c r="C26" s="1153">
        <f>C14+C18-C21</f>
        <v>152499</v>
      </c>
      <c r="D26" s="1153"/>
      <c r="E26" s="1153">
        <f>C26</f>
        <v>152499</v>
      </c>
      <c r="F26" s="1153">
        <f>F14+F18-F21-F23+F16</f>
        <v>154779</v>
      </c>
      <c r="G26" s="1129">
        <f>G14+G18-G21-G23</f>
        <v>0</v>
      </c>
      <c r="H26" s="1130">
        <f>H14+H19-H21-H23+H16</f>
        <v>154779</v>
      </c>
      <c r="I26" s="1154"/>
    </row>
    <row r="27" spans="1:9" s="1145" customFormat="1" ht="12.75" customHeight="1" thickBot="1">
      <c r="A27" s="1155" t="s">
        <v>24</v>
      </c>
      <c r="B27" s="1156" t="s">
        <v>33</v>
      </c>
      <c r="C27" s="1157"/>
      <c r="D27" s="1157"/>
      <c r="E27" s="1157"/>
      <c r="F27" s="1157"/>
      <c r="G27" s="1157"/>
      <c r="H27" s="1143"/>
      <c r="I27" s="1154"/>
    </row>
    <row r="28" spans="1:9" s="1145" customFormat="1" ht="15.75" customHeight="1">
      <c r="A28" s="1136">
        <v>7</v>
      </c>
      <c r="B28" s="1137" t="s">
        <v>34</v>
      </c>
      <c r="C28" s="2203">
        <v>11945</v>
      </c>
      <c r="D28" s="1129"/>
      <c r="E28" s="2203">
        <v>11945</v>
      </c>
      <c r="F28" s="2203">
        <v>544</v>
      </c>
      <c r="G28" s="2203"/>
      <c r="H28" s="2207">
        <v>544</v>
      </c>
      <c r="I28" s="1154"/>
    </row>
    <row r="29" spans="1:9" s="1145" customFormat="1" ht="15.75" customHeight="1">
      <c r="A29" s="1138" t="s">
        <v>24</v>
      </c>
      <c r="B29" s="1139" t="s">
        <v>35</v>
      </c>
      <c r="C29" s="2204"/>
      <c r="D29" s="1140"/>
      <c r="E29" s="2204"/>
      <c r="F29" s="2199"/>
      <c r="G29" s="2199"/>
      <c r="H29" s="2202"/>
      <c r="I29" s="1158"/>
    </row>
    <row r="30" spans="1:9" s="1145" customFormat="1" ht="10.5" customHeight="1">
      <c r="A30" s="1132">
        <v>8</v>
      </c>
      <c r="B30" s="1133" t="s">
        <v>36</v>
      </c>
      <c r="C30" s="1534"/>
      <c r="D30" s="1134"/>
      <c r="E30" s="1534"/>
      <c r="F30" s="1534"/>
      <c r="G30" s="2205"/>
      <c r="H30" s="1532"/>
      <c r="I30" s="1154"/>
    </row>
    <row r="31" spans="1:9" s="1145" customFormat="1" ht="15" customHeight="1" thickBot="1">
      <c r="A31" s="1136" t="s">
        <v>24</v>
      </c>
      <c r="B31" s="1137" t="s">
        <v>37</v>
      </c>
      <c r="C31" s="1535">
        <v>-54</v>
      </c>
      <c r="D31" s="1129"/>
      <c r="E31" s="1536">
        <v>-54</v>
      </c>
      <c r="F31" s="1535"/>
      <c r="G31" s="2206"/>
      <c r="H31" s="1533"/>
      <c r="I31" s="1154"/>
    </row>
    <row r="32" spans="1:9" s="1163" customFormat="1" ht="7.5" customHeight="1">
      <c r="A32" s="1146"/>
      <c r="B32" s="1147"/>
      <c r="C32" s="1159"/>
      <c r="D32" s="1148"/>
      <c r="E32" s="1160"/>
      <c r="F32" s="1161"/>
      <c r="G32" s="1160"/>
      <c r="H32" s="1162"/>
      <c r="I32" s="1158"/>
    </row>
    <row r="33" spans="1:9" s="1163" customFormat="1" ht="11.25" customHeight="1">
      <c r="A33" s="1151">
        <v>9</v>
      </c>
      <c r="B33" s="1152" t="s">
        <v>38</v>
      </c>
      <c r="C33" s="1164">
        <f>C26+C28+C31</f>
        <v>164390</v>
      </c>
      <c r="D33" s="1164">
        <f>D26+D28+D30</f>
        <v>0</v>
      </c>
      <c r="E33" s="1164">
        <f>E26+E28+E30</f>
        <v>164444</v>
      </c>
      <c r="F33" s="1164">
        <f>F26+F28+F30</f>
        <v>155323</v>
      </c>
      <c r="G33" s="1164">
        <f>G26+G28+G30</f>
        <v>0</v>
      </c>
      <c r="H33" s="1165">
        <f>H26+H28+H30</f>
        <v>155323</v>
      </c>
      <c r="I33" s="1158"/>
    </row>
    <row r="34" spans="1:9" s="1163" customFormat="1" ht="15" customHeight="1" thickBot="1">
      <c r="A34" s="1166"/>
      <c r="B34" s="1167" t="s">
        <v>39</v>
      </c>
      <c r="C34" s="1168"/>
      <c r="D34" s="1157"/>
      <c r="E34" s="1169"/>
      <c r="F34" s="1170"/>
      <c r="G34" s="1169"/>
      <c r="H34" s="1171"/>
      <c r="I34" s="1158"/>
    </row>
    <row r="35" spans="1:9" s="1145" customFormat="1" ht="10.5" customHeight="1">
      <c r="A35" s="1136" t="s">
        <v>446</v>
      </c>
      <c r="B35" s="1137" t="s">
        <v>40</v>
      </c>
      <c r="C35" s="1129"/>
      <c r="D35" s="1129"/>
      <c r="E35" s="1129"/>
      <c r="F35" s="2197">
        <v>0</v>
      </c>
      <c r="G35" s="1129"/>
      <c r="H35" s="2200">
        <f>F35+G36</f>
        <v>0</v>
      </c>
      <c r="I35" s="1154"/>
    </row>
    <row r="36" spans="1:9" s="1145" customFormat="1" ht="10.5" customHeight="1">
      <c r="A36" s="1136">
        <v>10</v>
      </c>
      <c r="B36" s="1137" t="s">
        <v>41</v>
      </c>
      <c r="C36" s="1129">
        <v>0</v>
      </c>
      <c r="D36" s="1129"/>
      <c r="E36" s="1129">
        <v>0</v>
      </c>
      <c r="F36" s="2198"/>
      <c r="G36" s="1129"/>
      <c r="H36" s="2201"/>
      <c r="I36" s="1154"/>
    </row>
    <row r="37" spans="1:9" s="1145" customFormat="1" ht="10.5" customHeight="1">
      <c r="A37" s="1138" t="s">
        <v>42</v>
      </c>
      <c r="B37" s="1139" t="s">
        <v>43</v>
      </c>
      <c r="C37" s="1140"/>
      <c r="D37" s="1140"/>
      <c r="E37" s="1140"/>
      <c r="F37" s="2199"/>
      <c r="G37" s="1140"/>
      <c r="H37" s="2202"/>
      <c r="I37" s="1154"/>
    </row>
    <row r="38" spans="1:9" s="1145" customFormat="1" ht="10.5" customHeight="1">
      <c r="A38" s="1132" t="s">
        <v>446</v>
      </c>
      <c r="B38" s="1133" t="s">
        <v>44</v>
      </c>
      <c r="C38" s="2205">
        <v>0</v>
      </c>
      <c r="D38" s="1134"/>
      <c r="E38" s="2205">
        <f>SUM(C38:D40)</f>
        <v>0</v>
      </c>
      <c r="F38" s="2205">
        <v>0</v>
      </c>
      <c r="G38" s="2205"/>
      <c r="H38" s="2210">
        <f>SUM(F38:G40)</f>
        <v>0</v>
      </c>
      <c r="I38" s="1154"/>
    </row>
    <row r="39" spans="1:9" s="1145" customFormat="1" ht="10.5" customHeight="1">
      <c r="A39" s="1136">
        <v>11</v>
      </c>
      <c r="B39" s="1137" t="s">
        <v>45</v>
      </c>
      <c r="C39" s="2216"/>
      <c r="D39" s="1129"/>
      <c r="E39" s="2206"/>
      <c r="F39" s="2213"/>
      <c r="G39" s="2206"/>
      <c r="H39" s="2211"/>
      <c r="I39" s="1154"/>
    </row>
    <row r="40" spans="1:9" s="1145" customFormat="1" ht="10.5" customHeight="1" thickBot="1">
      <c r="A40" s="1136" t="s">
        <v>24</v>
      </c>
      <c r="B40" s="1137" t="s">
        <v>46</v>
      </c>
      <c r="C40" s="2217"/>
      <c r="D40" s="1129"/>
      <c r="E40" s="2209"/>
      <c r="F40" s="2214"/>
      <c r="G40" s="2209"/>
      <c r="H40" s="2208"/>
      <c r="I40" s="1154"/>
    </row>
    <row r="41" spans="1:9" s="1145" customFormat="1" ht="10.5" customHeight="1">
      <c r="A41" s="1146">
        <v>12</v>
      </c>
      <c r="B41" s="1147" t="s">
        <v>47</v>
      </c>
      <c r="C41" s="2215">
        <f>C33+C36+C38</f>
        <v>164390</v>
      </c>
      <c r="D41" s="1148"/>
      <c r="E41" s="2215">
        <f>SUM(C41:D42)</f>
        <v>164390</v>
      </c>
      <c r="F41" s="2215">
        <f>F33+F35+F38</f>
        <v>155323</v>
      </c>
      <c r="G41" s="1148"/>
      <c r="H41" s="2207">
        <f>H33+H35+H38</f>
        <v>155323</v>
      </c>
      <c r="I41" s="1154"/>
    </row>
    <row r="42" spans="1:9" s="1145" customFormat="1" ht="12.75" customHeight="1" thickBot="1">
      <c r="A42" s="1155" t="s">
        <v>24</v>
      </c>
      <c r="B42" s="1156"/>
      <c r="C42" s="2214"/>
      <c r="D42" s="1157"/>
      <c r="E42" s="2214"/>
      <c r="F42" s="2214"/>
      <c r="G42" s="1157"/>
      <c r="H42" s="2208"/>
      <c r="I42" s="1154"/>
    </row>
    <row r="43" spans="1:9" s="1145" customFormat="1" ht="33.75" customHeight="1">
      <c r="A43" s="1172">
        <v>13</v>
      </c>
      <c r="B43" s="1173" t="s">
        <v>48</v>
      </c>
      <c r="C43" s="1174">
        <v>0</v>
      </c>
      <c r="D43" s="1175"/>
      <c r="E43" s="1174">
        <v>0</v>
      </c>
      <c r="F43" s="1174">
        <v>0</v>
      </c>
      <c r="G43" s="1175"/>
      <c r="H43" s="1176">
        <v>0</v>
      </c>
      <c r="I43" s="1154"/>
    </row>
    <row r="44" spans="1:9" s="1145" customFormat="1" ht="21.75" customHeight="1">
      <c r="A44" s="1127">
        <v>14</v>
      </c>
      <c r="B44" s="1177" t="s">
        <v>49</v>
      </c>
      <c r="C44" s="1178">
        <f>C45+C46</f>
        <v>164390</v>
      </c>
      <c r="D44" s="1129"/>
      <c r="E44" s="1178">
        <f>C44</f>
        <v>164390</v>
      </c>
      <c r="F44" s="1178">
        <v>155323</v>
      </c>
      <c r="G44" s="1129"/>
      <c r="H44" s="1179">
        <f>F44</f>
        <v>155323</v>
      </c>
      <c r="I44" s="1154"/>
    </row>
    <row r="45" spans="1:9" s="1186" customFormat="1" ht="12.75" customHeight="1">
      <c r="A45" s="1180"/>
      <c r="B45" s="1181" t="s">
        <v>50</v>
      </c>
      <c r="C45" s="1182">
        <v>22278</v>
      </c>
      <c r="D45" s="1183"/>
      <c r="E45" s="1182">
        <f>C45</f>
        <v>22278</v>
      </c>
      <c r="F45" s="1182">
        <v>155323</v>
      </c>
      <c r="G45" s="1183"/>
      <c r="H45" s="1184">
        <f>F45</f>
        <v>155323</v>
      </c>
      <c r="I45" s="1185"/>
    </row>
    <row r="46" spans="1:9" s="1186" customFormat="1" ht="12.75" customHeight="1">
      <c r="A46" s="1187"/>
      <c r="B46" s="1188" t="s">
        <v>51</v>
      </c>
      <c r="C46" s="1189">
        <v>142112</v>
      </c>
      <c r="D46" s="1189"/>
      <c r="E46" s="1189">
        <f>C46</f>
        <v>142112</v>
      </c>
      <c r="F46" s="1189">
        <v>0</v>
      </c>
      <c r="G46" s="1189"/>
      <c r="H46" s="1184">
        <v>0</v>
      </c>
      <c r="I46" s="1185"/>
    </row>
    <row r="47" spans="1:9" s="1145" customFormat="1" ht="13.5" customHeight="1">
      <c r="A47" s="1190">
        <v>15</v>
      </c>
      <c r="B47" s="1191" t="s">
        <v>52</v>
      </c>
      <c r="C47" s="1192"/>
      <c r="D47" s="1192"/>
      <c r="E47" s="1192"/>
      <c r="F47" s="1192"/>
      <c r="G47" s="1192"/>
      <c r="H47" s="1184"/>
      <c r="I47" s="1154"/>
    </row>
    <row r="48" spans="1:9" s="1186" customFormat="1" ht="12.75" customHeight="1">
      <c r="A48" s="1193"/>
      <c r="B48" s="1181" t="s">
        <v>50</v>
      </c>
      <c r="C48" s="1194"/>
      <c r="D48" s="1194"/>
      <c r="E48" s="1194"/>
      <c r="F48" s="1194"/>
      <c r="G48" s="1194"/>
      <c r="H48" s="1184"/>
      <c r="I48" s="1185"/>
    </row>
    <row r="49" spans="1:9" s="1186" customFormat="1" ht="12.75" customHeight="1" thickBot="1">
      <c r="A49" s="1195"/>
      <c r="B49" s="1188" t="s">
        <v>51</v>
      </c>
      <c r="C49" s="1196"/>
      <c r="D49" s="1196"/>
      <c r="E49" s="1197"/>
      <c r="F49" s="1196"/>
      <c r="G49" s="1196"/>
      <c r="H49" s="1179"/>
      <c r="I49" s="1185"/>
    </row>
    <row r="50" spans="1:8" ht="11.25">
      <c r="A50" s="1198"/>
      <c r="B50" s="1198"/>
      <c r="C50" s="1199"/>
      <c r="D50" s="1199"/>
      <c r="E50" s="1199"/>
      <c r="F50" s="1199"/>
      <c r="G50" s="1199"/>
      <c r="H50" s="1199"/>
    </row>
    <row r="51" spans="1:8" ht="11.25">
      <c r="A51" s="2212" t="s">
        <v>53</v>
      </c>
      <c r="B51" s="2212"/>
      <c r="C51" s="2212"/>
      <c r="D51" s="2212"/>
      <c r="E51" s="2212"/>
      <c r="F51" s="2212"/>
      <c r="G51" s="2212"/>
      <c r="H51" s="2212"/>
    </row>
    <row r="52" spans="1:8" ht="11.25">
      <c r="A52" s="2212" t="s">
        <v>1045</v>
      </c>
      <c r="B52" s="2212"/>
      <c r="C52" s="2212"/>
      <c r="D52" s="2212"/>
      <c r="E52" s="2212"/>
      <c r="F52" s="2212"/>
      <c r="G52" s="2212"/>
      <c r="H52" s="2212"/>
    </row>
  </sheetData>
  <sheetProtection/>
  <mergeCells count="39">
    <mergeCell ref="C18:C20"/>
    <mergeCell ref="E18:E20"/>
    <mergeCell ref="C21:C22"/>
    <mergeCell ref="C23:C24"/>
    <mergeCell ref="E21:E22"/>
    <mergeCell ref="E23:E24"/>
    <mergeCell ref="H21:H22"/>
    <mergeCell ref="G21:G22"/>
    <mergeCell ref="F28:F29"/>
    <mergeCell ref="H28:H29"/>
    <mergeCell ref="G28:G29"/>
    <mergeCell ref="F23:F24"/>
    <mergeCell ref="H23:H24"/>
    <mergeCell ref="A10:A13"/>
    <mergeCell ref="F10:F13"/>
    <mergeCell ref="G10:G13"/>
    <mergeCell ref="H10:H13"/>
    <mergeCell ref="C10:C13"/>
    <mergeCell ref="D10:D13"/>
    <mergeCell ref="E10:E13"/>
    <mergeCell ref="B10:B13"/>
    <mergeCell ref="A51:H51"/>
    <mergeCell ref="A52:H52"/>
    <mergeCell ref="F18:F20"/>
    <mergeCell ref="F21:F22"/>
    <mergeCell ref="F38:F40"/>
    <mergeCell ref="C28:C29"/>
    <mergeCell ref="C41:C42"/>
    <mergeCell ref="C38:C40"/>
    <mergeCell ref="E41:E42"/>
    <mergeCell ref="F41:F42"/>
    <mergeCell ref="F35:F37"/>
    <mergeCell ref="H35:H37"/>
    <mergeCell ref="E28:E29"/>
    <mergeCell ref="G30:G31"/>
    <mergeCell ref="H41:H42"/>
    <mergeCell ref="G38:G40"/>
    <mergeCell ref="H38:H40"/>
    <mergeCell ref="E38:E40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A23" sqref="A23:J23"/>
    </sheetView>
  </sheetViews>
  <sheetFormatPr defaultColWidth="9.00390625" defaultRowHeight="12.75"/>
  <cols>
    <col min="1" max="1" width="4.375" style="1425" customWidth="1"/>
    <col min="2" max="2" width="11.125" style="1426" customWidth="1"/>
    <col min="3" max="5" width="9.125" style="1425" customWidth="1"/>
    <col min="6" max="6" width="10.875" style="1425" customWidth="1"/>
    <col min="7" max="7" width="8.375" style="1425" customWidth="1"/>
    <col min="8" max="8" width="10.75390625" style="1427" customWidth="1"/>
    <col min="9" max="9" width="7.75390625" style="1428" customWidth="1"/>
    <col min="10" max="10" width="10.00390625" style="1428" customWidth="1"/>
    <col min="11" max="11" width="8.25390625" style="1428" customWidth="1"/>
    <col min="12" max="12" width="11.625" style="1428" customWidth="1"/>
    <col min="13" max="13" width="7.00390625" style="1429" customWidth="1"/>
    <col min="14" max="14" width="10.875" style="1429" customWidth="1"/>
    <col min="15" max="16384" width="9.125" style="1431" customWidth="1"/>
  </cols>
  <sheetData>
    <row r="2" ht="12.75">
      <c r="N2" s="1430" t="s">
        <v>228</v>
      </c>
    </row>
    <row r="3" spans="1:14" s="1432" customFormat="1" ht="24" customHeight="1">
      <c r="A3" s="1736" t="s">
        <v>447</v>
      </c>
      <c r="B3" s="1739" t="s">
        <v>229</v>
      </c>
      <c r="C3" s="1740"/>
      <c r="D3" s="1740"/>
      <c r="E3" s="1740"/>
      <c r="F3" s="1740"/>
      <c r="G3" s="1736" t="s">
        <v>230</v>
      </c>
      <c r="H3" s="1736"/>
      <c r="I3" s="1734" t="s">
        <v>231</v>
      </c>
      <c r="J3" s="1735"/>
      <c r="K3" s="1734" t="s">
        <v>232</v>
      </c>
      <c r="L3" s="1735"/>
      <c r="M3" s="1734" t="s">
        <v>233</v>
      </c>
      <c r="N3" s="1735"/>
    </row>
    <row r="4" spans="1:14" s="1432" customFormat="1" ht="26.25" customHeight="1">
      <c r="A4" s="1736"/>
      <c r="B4" s="1741"/>
      <c r="C4" s="1742"/>
      <c r="D4" s="1742"/>
      <c r="E4" s="1742"/>
      <c r="F4" s="1742"/>
      <c r="G4" s="1322" t="s">
        <v>234</v>
      </c>
      <c r="H4" s="1322" t="s">
        <v>235</v>
      </c>
      <c r="I4" s="1433" t="s">
        <v>234</v>
      </c>
      <c r="J4" s="1433" t="s">
        <v>235</v>
      </c>
      <c r="K4" s="1433" t="s">
        <v>234</v>
      </c>
      <c r="L4" s="1433" t="s">
        <v>235</v>
      </c>
      <c r="M4" s="1433" t="s">
        <v>234</v>
      </c>
      <c r="N4" s="1433" t="s">
        <v>235</v>
      </c>
    </row>
    <row r="5" spans="1:14" s="1434" customFormat="1" ht="20.25" customHeight="1">
      <c r="A5" s="1752" t="s">
        <v>236</v>
      </c>
      <c r="B5" s="1753"/>
      <c r="C5" s="1753"/>
      <c r="D5" s="1753"/>
      <c r="E5" s="1753"/>
      <c r="F5" s="1753"/>
      <c r="G5" s="1753"/>
      <c r="H5" s="1753"/>
      <c r="I5" s="1753"/>
      <c r="J5" s="1753"/>
      <c r="K5" s="1753"/>
      <c r="L5" s="1753"/>
      <c r="M5" s="1753"/>
      <c r="N5" s="1754"/>
    </row>
    <row r="6" spans="1:14" ht="12.75" customHeight="1">
      <c r="A6" s="1435">
        <v>1</v>
      </c>
      <c r="B6" s="1743" t="s">
        <v>237</v>
      </c>
      <c r="C6" s="1744"/>
      <c r="D6" s="1744"/>
      <c r="E6" s="1744"/>
      <c r="F6" s="1745"/>
      <c r="G6" s="1436">
        <v>14690</v>
      </c>
      <c r="H6" s="1437">
        <v>59847060</v>
      </c>
      <c r="I6" s="1438">
        <v>0</v>
      </c>
      <c r="J6" s="1438">
        <v>0</v>
      </c>
      <c r="K6" s="1438">
        <v>14690</v>
      </c>
      <c r="L6" s="1438">
        <v>59847060</v>
      </c>
      <c r="M6" s="1438">
        <f aca="true" t="shared" si="0" ref="M6:M17">K6-G6-I6</f>
        <v>0</v>
      </c>
      <c r="N6" s="1438">
        <f aca="true" t="shared" si="1" ref="N6:N17">L6-H6-J6</f>
        <v>0</v>
      </c>
    </row>
    <row r="7" spans="1:14" ht="12.75">
      <c r="A7" s="1435">
        <v>2</v>
      </c>
      <c r="B7" s="1746" t="s">
        <v>238</v>
      </c>
      <c r="C7" s="1733" t="s">
        <v>239</v>
      </c>
      <c r="D7" s="1733"/>
      <c r="E7" s="1733"/>
      <c r="F7" s="1733"/>
      <c r="G7" s="1439">
        <v>1</v>
      </c>
      <c r="H7" s="1440">
        <v>3000000</v>
      </c>
      <c r="I7" s="1438">
        <v>0</v>
      </c>
      <c r="J7" s="1438">
        <v>0</v>
      </c>
      <c r="K7" s="1439">
        <v>1</v>
      </c>
      <c r="L7" s="1440">
        <v>3000000</v>
      </c>
      <c r="M7" s="1438">
        <f t="shared" si="0"/>
        <v>0</v>
      </c>
      <c r="N7" s="1438">
        <f t="shared" si="1"/>
        <v>0</v>
      </c>
    </row>
    <row r="8" spans="1:14" ht="12.75">
      <c r="A8" s="1435">
        <v>3</v>
      </c>
      <c r="B8" s="1747"/>
      <c r="C8" s="1733" t="s">
        <v>240</v>
      </c>
      <c r="D8" s="1733"/>
      <c r="E8" s="1733"/>
      <c r="F8" s="1733"/>
      <c r="G8" s="1439">
        <v>23704</v>
      </c>
      <c r="H8" s="1440">
        <v>6542304</v>
      </c>
      <c r="I8" s="1438">
        <v>0</v>
      </c>
      <c r="J8" s="1438">
        <v>0</v>
      </c>
      <c r="K8" s="1439">
        <v>23704</v>
      </c>
      <c r="L8" s="1440">
        <v>6542304</v>
      </c>
      <c r="M8" s="1438">
        <f t="shared" si="0"/>
        <v>0</v>
      </c>
      <c r="N8" s="1438">
        <f t="shared" si="1"/>
        <v>0</v>
      </c>
    </row>
    <row r="9" spans="1:14" ht="12.75">
      <c r="A9" s="1435">
        <v>4</v>
      </c>
      <c r="B9" s="1747"/>
      <c r="C9" s="1733" t="s">
        <v>241</v>
      </c>
      <c r="D9" s="1733"/>
      <c r="E9" s="1733"/>
      <c r="F9" s="1733"/>
      <c r="G9" s="1439">
        <v>159</v>
      </c>
      <c r="H9" s="1440">
        <v>4547400</v>
      </c>
      <c r="I9" s="1438">
        <v>0</v>
      </c>
      <c r="J9" s="1438">
        <v>0</v>
      </c>
      <c r="K9" s="1439">
        <v>159</v>
      </c>
      <c r="L9" s="1440">
        <v>4547400</v>
      </c>
      <c r="M9" s="1438">
        <f t="shared" si="0"/>
        <v>0</v>
      </c>
      <c r="N9" s="1438">
        <f t="shared" si="1"/>
        <v>0</v>
      </c>
    </row>
    <row r="10" spans="1:14" ht="12.75">
      <c r="A10" s="1435">
        <v>5</v>
      </c>
      <c r="B10" s="1747"/>
      <c r="C10" s="1737" t="s">
        <v>242</v>
      </c>
      <c r="D10" s="1738"/>
      <c r="E10" s="1738"/>
      <c r="F10" s="1738"/>
      <c r="G10" s="1439">
        <v>25167</v>
      </c>
      <c r="H10" s="1440">
        <v>1409352</v>
      </c>
      <c r="I10" s="1438">
        <v>0</v>
      </c>
      <c r="J10" s="1438">
        <v>0</v>
      </c>
      <c r="K10" s="1439">
        <v>25167</v>
      </c>
      <c r="L10" s="1440">
        <v>1409352</v>
      </c>
      <c r="M10" s="1438">
        <f t="shared" si="0"/>
        <v>0</v>
      </c>
      <c r="N10" s="1438">
        <f t="shared" si="1"/>
        <v>0</v>
      </c>
    </row>
    <row r="11" spans="1:14" ht="12.75">
      <c r="A11" s="1435">
        <v>6</v>
      </c>
      <c r="B11" s="1748"/>
      <c r="C11" s="1749" t="s">
        <v>243</v>
      </c>
      <c r="D11" s="1750"/>
      <c r="E11" s="1750"/>
      <c r="F11" s="1751"/>
      <c r="G11" s="1439">
        <v>1026</v>
      </c>
      <c r="H11" s="1440">
        <v>7929954</v>
      </c>
      <c r="I11" s="1438">
        <v>0</v>
      </c>
      <c r="J11" s="1438">
        <v>0</v>
      </c>
      <c r="K11" s="1439">
        <v>1026</v>
      </c>
      <c r="L11" s="1440">
        <v>7929954</v>
      </c>
      <c r="M11" s="1438">
        <f t="shared" si="0"/>
        <v>0</v>
      </c>
      <c r="N11" s="1438">
        <f t="shared" si="1"/>
        <v>0</v>
      </c>
    </row>
    <row r="12" spans="1:14" ht="12.75">
      <c r="A12" s="1435">
        <v>7</v>
      </c>
      <c r="B12" s="1737" t="s">
        <v>244</v>
      </c>
      <c r="C12" s="1738"/>
      <c r="D12" s="1738"/>
      <c r="E12" s="1738"/>
      <c r="F12" s="1738"/>
      <c r="G12" s="1439">
        <v>1104</v>
      </c>
      <c r="H12" s="1440">
        <v>2883648</v>
      </c>
      <c r="I12" s="1438">
        <v>0</v>
      </c>
      <c r="J12" s="1438">
        <v>0</v>
      </c>
      <c r="K12" s="1439">
        <v>1104</v>
      </c>
      <c r="L12" s="1440">
        <v>2883648</v>
      </c>
      <c r="M12" s="1438">
        <f t="shared" si="0"/>
        <v>0</v>
      </c>
      <c r="N12" s="1438">
        <f t="shared" si="1"/>
        <v>0</v>
      </c>
    </row>
    <row r="13" spans="1:14" ht="12.75">
      <c r="A13" s="1435">
        <v>8</v>
      </c>
      <c r="B13" s="1737" t="s">
        <v>245</v>
      </c>
      <c r="C13" s="1738"/>
      <c r="D13" s="1738"/>
      <c r="E13" s="1738"/>
      <c r="F13" s="1738"/>
      <c r="G13" s="1439">
        <v>600</v>
      </c>
      <c r="H13" s="1440">
        <v>60000</v>
      </c>
      <c r="I13" s="1438">
        <v>0</v>
      </c>
      <c r="J13" s="1438">
        <v>0</v>
      </c>
      <c r="K13" s="1438">
        <v>4969</v>
      </c>
      <c r="L13" s="1438">
        <v>496900</v>
      </c>
      <c r="M13" s="1438">
        <f t="shared" si="0"/>
        <v>4369</v>
      </c>
      <c r="N13" s="1438">
        <f t="shared" si="1"/>
        <v>436900</v>
      </c>
    </row>
    <row r="14" spans="1:14" ht="12.75">
      <c r="A14" s="1435">
        <v>9</v>
      </c>
      <c r="B14" s="1737" t="s">
        <v>246</v>
      </c>
      <c r="C14" s="1738"/>
      <c r="D14" s="1738"/>
      <c r="E14" s="1738"/>
      <c r="F14" s="1738"/>
      <c r="G14" s="1439">
        <v>2500000</v>
      </c>
      <c r="H14" s="1440">
        <v>3750000</v>
      </c>
      <c r="I14" s="1438">
        <v>0</v>
      </c>
      <c r="J14" s="1438">
        <v>0</v>
      </c>
      <c r="K14" s="1438">
        <v>2831000</v>
      </c>
      <c r="L14" s="1438">
        <v>4246500</v>
      </c>
      <c r="M14" s="1438">
        <f t="shared" si="0"/>
        <v>331000</v>
      </c>
      <c r="N14" s="1438">
        <f t="shared" si="1"/>
        <v>496500</v>
      </c>
    </row>
    <row r="15" spans="1:14" ht="12.75">
      <c r="A15" s="1435">
        <v>10</v>
      </c>
      <c r="B15" s="1737" t="s">
        <v>247</v>
      </c>
      <c r="C15" s="1738"/>
      <c r="D15" s="1738"/>
      <c r="E15" s="1738"/>
      <c r="F15" s="1738"/>
      <c r="G15" s="1439">
        <v>0</v>
      </c>
      <c r="H15" s="1440">
        <v>58950023</v>
      </c>
      <c r="I15" s="1438">
        <v>0</v>
      </c>
      <c r="J15" s="1438">
        <v>0</v>
      </c>
      <c r="K15" s="1438">
        <v>0</v>
      </c>
      <c r="L15" s="1438">
        <v>58950023</v>
      </c>
      <c r="M15" s="1438">
        <f t="shared" si="0"/>
        <v>0</v>
      </c>
      <c r="N15" s="1438">
        <f t="shared" si="1"/>
        <v>0</v>
      </c>
    </row>
    <row r="16" spans="1:14" ht="27" customHeight="1">
      <c r="A16" s="1435">
        <v>11</v>
      </c>
      <c r="B16" s="1736" t="s">
        <v>248</v>
      </c>
      <c r="C16" s="1733" t="s">
        <v>249</v>
      </c>
      <c r="D16" s="1733"/>
      <c r="E16" s="1733"/>
      <c r="F16" s="1733"/>
      <c r="G16" s="1441">
        <v>29380</v>
      </c>
      <c r="H16" s="1440">
        <v>5802550</v>
      </c>
      <c r="I16" s="1438">
        <v>0</v>
      </c>
      <c r="J16" s="1438">
        <v>0</v>
      </c>
      <c r="K16" s="1441">
        <v>29380</v>
      </c>
      <c r="L16" s="1440">
        <v>5802550</v>
      </c>
      <c r="M16" s="1438">
        <f t="shared" si="0"/>
        <v>0</v>
      </c>
      <c r="N16" s="1438">
        <f t="shared" si="1"/>
        <v>0</v>
      </c>
    </row>
    <row r="17" spans="1:14" ht="27" customHeight="1">
      <c r="A17" s="1435">
        <v>12</v>
      </c>
      <c r="B17" s="1736"/>
      <c r="C17" s="1733" t="s">
        <v>250</v>
      </c>
      <c r="D17" s="1733"/>
      <c r="E17" s="1733"/>
      <c r="F17" s="1733"/>
      <c r="G17" s="1439">
        <v>29380</v>
      </c>
      <c r="H17" s="1440">
        <v>5802550</v>
      </c>
      <c r="I17" s="1438">
        <v>0</v>
      </c>
      <c r="J17" s="1438">
        <v>0</v>
      </c>
      <c r="K17" s="1439">
        <v>29380</v>
      </c>
      <c r="L17" s="1440">
        <v>5802550</v>
      </c>
      <c r="M17" s="1438">
        <f t="shared" si="0"/>
        <v>0</v>
      </c>
      <c r="N17" s="1438">
        <f t="shared" si="1"/>
        <v>0</v>
      </c>
    </row>
    <row r="18" spans="1:14" ht="39" customHeight="1">
      <c r="A18" s="1435">
        <v>13</v>
      </c>
      <c r="B18" s="1322" t="s">
        <v>251</v>
      </c>
      <c r="C18" s="1733" t="s">
        <v>252</v>
      </c>
      <c r="D18" s="1733"/>
      <c r="E18" s="1733"/>
      <c r="F18" s="1733"/>
      <c r="G18" s="1439">
        <v>36</v>
      </c>
      <c r="H18" s="1440">
        <v>17787600</v>
      </c>
      <c r="I18" s="1438">
        <v>-2</v>
      </c>
      <c r="J18" s="1438">
        <v>-988200</v>
      </c>
      <c r="K18" s="1438">
        <v>34</v>
      </c>
      <c r="L18" s="1438">
        <v>16799400</v>
      </c>
      <c r="M18" s="1438">
        <f>K18-G18-I18</f>
        <v>0</v>
      </c>
      <c r="N18" s="1438">
        <v>0</v>
      </c>
    </row>
    <row r="19" spans="1:14" ht="12.75">
      <c r="A19" s="1435">
        <v>14</v>
      </c>
      <c r="B19" s="1746" t="s">
        <v>254</v>
      </c>
      <c r="C19" s="1733" t="s">
        <v>255</v>
      </c>
      <c r="D19" s="1733"/>
      <c r="E19" s="1733"/>
      <c r="F19" s="1733"/>
      <c r="G19" s="1439">
        <v>384</v>
      </c>
      <c r="H19" s="1440">
        <v>27103333</v>
      </c>
      <c r="I19" s="1438">
        <v>0</v>
      </c>
      <c r="J19" s="1438">
        <v>0</v>
      </c>
      <c r="K19" s="1438">
        <v>382</v>
      </c>
      <c r="L19" s="1438">
        <v>26946667</v>
      </c>
      <c r="M19" s="1438">
        <f>K19-G19-I19</f>
        <v>-2</v>
      </c>
      <c r="N19" s="1438">
        <f>L19-H19-J19</f>
        <v>-156666</v>
      </c>
    </row>
    <row r="20" spans="1:14" ht="12.75">
      <c r="A20" s="1435">
        <v>15</v>
      </c>
      <c r="B20" s="1770"/>
      <c r="C20" s="1733" t="s">
        <v>256</v>
      </c>
      <c r="D20" s="1733"/>
      <c r="E20" s="1733"/>
      <c r="F20" s="1733"/>
      <c r="G20" s="1439">
        <v>102</v>
      </c>
      <c r="H20" s="1440">
        <v>2820000</v>
      </c>
      <c r="I20" s="1438">
        <v>0</v>
      </c>
      <c r="J20" s="1438">
        <v>0</v>
      </c>
      <c r="K20" s="1438">
        <v>105</v>
      </c>
      <c r="L20" s="1438">
        <v>2976667</v>
      </c>
      <c r="M20" s="1438">
        <f>K20-G20-I20</f>
        <v>3</v>
      </c>
      <c r="N20" s="1438">
        <f>L20-H20-J20</f>
        <v>156667</v>
      </c>
    </row>
    <row r="21" spans="1:14" ht="12.75">
      <c r="A21" s="1435">
        <v>16</v>
      </c>
      <c r="B21" s="1770"/>
      <c r="C21" s="1733" t="s">
        <v>257</v>
      </c>
      <c r="D21" s="1733"/>
      <c r="E21" s="1733"/>
      <c r="F21" s="1733"/>
      <c r="G21" s="1439">
        <v>384</v>
      </c>
      <c r="H21" s="1440">
        <v>13551667</v>
      </c>
      <c r="I21" s="1438">
        <v>-39</v>
      </c>
      <c r="J21" s="1438">
        <v>-1410000</v>
      </c>
      <c r="K21" s="1438">
        <v>345</v>
      </c>
      <c r="L21" s="1438">
        <v>12141667</v>
      </c>
      <c r="M21" s="1438">
        <f>K21-G21-I21</f>
        <v>0</v>
      </c>
      <c r="N21" s="1438">
        <f>L21-H21-J21</f>
        <v>0</v>
      </c>
    </row>
    <row r="22" spans="1:14" ht="12.75">
      <c r="A22" s="1435">
        <v>17</v>
      </c>
      <c r="B22" s="1771"/>
      <c r="C22" s="1749" t="s">
        <v>258</v>
      </c>
      <c r="D22" s="1768"/>
      <c r="E22" s="1768"/>
      <c r="F22" s="1769"/>
      <c r="G22" s="1439">
        <v>102</v>
      </c>
      <c r="H22" s="1440">
        <v>1410000</v>
      </c>
      <c r="I22" s="1438">
        <v>-1</v>
      </c>
      <c r="J22" s="1438">
        <v>0</v>
      </c>
      <c r="K22" s="1438">
        <v>102</v>
      </c>
      <c r="L22" s="1438">
        <v>1410000</v>
      </c>
      <c r="M22" s="1438">
        <f>K22-G22-I22</f>
        <v>1</v>
      </c>
      <c r="N22" s="1438">
        <f>L22-H22-J22</f>
        <v>0</v>
      </c>
    </row>
    <row r="23" spans="1:14" s="1443" customFormat="1" ht="16.5" customHeight="1">
      <c r="A23" s="1759" t="s">
        <v>259</v>
      </c>
      <c r="B23" s="1760"/>
      <c r="C23" s="1760"/>
      <c r="D23" s="1760"/>
      <c r="E23" s="1760"/>
      <c r="F23" s="1760"/>
      <c r="G23" s="1760"/>
      <c r="H23" s="1760"/>
      <c r="I23" s="1760"/>
      <c r="J23" s="1761"/>
      <c r="K23" s="1442">
        <f>SUM(K6:K22)</f>
        <v>2961548</v>
      </c>
      <c r="L23" s="1442">
        <f>SUM(L6:L22)</f>
        <v>221732642</v>
      </c>
      <c r="M23" s="1442">
        <f>SUM(M6:M22)</f>
        <v>335371</v>
      </c>
      <c r="N23" s="1442">
        <f>SUM(N6:N22)</f>
        <v>933401</v>
      </c>
    </row>
    <row r="24" spans="1:14" s="1443" customFormat="1" ht="16.5" customHeight="1">
      <c r="A24" s="1581" t="s">
        <v>341</v>
      </c>
      <c r="B24" s="1772" t="s">
        <v>752</v>
      </c>
      <c r="C24" s="1772"/>
      <c r="D24" s="1772"/>
      <c r="E24" s="1772"/>
      <c r="F24" s="1772"/>
      <c r="G24" s="1631"/>
      <c r="H24" s="1632">
        <f>('3.mell'!D80+'3.mell'!D84)*1000</f>
        <v>293574000</v>
      </c>
      <c r="I24" s="1632"/>
      <c r="J24" s="1632"/>
      <c r="K24" s="1632"/>
      <c r="L24" s="1632">
        <f>293574000-489899</f>
        <v>293084101</v>
      </c>
      <c r="M24" s="1632"/>
      <c r="N24" s="1632">
        <f>L24-H24</f>
        <v>-489899</v>
      </c>
    </row>
    <row r="25" spans="1:14" s="1443" customFormat="1" ht="27" customHeight="1">
      <c r="A25" s="1444" t="s">
        <v>353</v>
      </c>
      <c r="B25" s="1752" t="s">
        <v>751</v>
      </c>
      <c r="C25" s="1757"/>
      <c r="D25" s="1757"/>
      <c r="E25" s="1757"/>
      <c r="F25" s="1758"/>
      <c r="G25" s="1445"/>
      <c r="H25" s="1446">
        <v>0</v>
      </c>
      <c r="I25" s="1442">
        <v>0</v>
      </c>
      <c r="J25" s="1442">
        <v>0</v>
      </c>
      <c r="K25" s="1442"/>
      <c r="L25" s="1442">
        <v>44468000</v>
      </c>
      <c r="M25" s="1442">
        <v>0</v>
      </c>
      <c r="N25" s="1442">
        <v>0</v>
      </c>
    </row>
    <row r="26" spans="1:14" s="1443" customFormat="1" ht="17.25" customHeight="1">
      <c r="A26" s="1759" t="s">
        <v>749</v>
      </c>
      <c r="B26" s="1760"/>
      <c r="C26" s="1760"/>
      <c r="D26" s="1760"/>
      <c r="E26" s="1760"/>
      <c r="F26" s="1760"/>
      <c r="G26" s="1760"/>
      <c r="H26" s="1760"/>
      <c r="I26" s="1760"/>
      <c r="J26" s="1760"/>
      <c r="K26" s="1760"/>
      <c r="L26" s="1760"/>
      <c r="M26" s="1760"/>
      <c r="N26" s="1761"/>
    </row>
    <row r="27" spans="1:14" ht="13.5" customHeight="1">
      <c r="A27" s="1435">
        <v>1</v>
      </c>
      <c r="B27" s="1765" t="s">
        <v>832</v>
      </c>
      <c r="C27" s="1766"/>
      <c r="D27" s="1766"/>
      <c r="E27" s="1766"/>
      <c r="F27" s="1767"/>
      <c r="G27" s="1438">
        <v>11</v>
      </c>
      <c r="H27" s="1438">
        <v>18040</v>
      </c>
      <c r="I27" s="1438">
        <v>0</v>
      </c>
      <c r="J27" s="1438">
        <v>0</v>
      </c>
      <c r="K27" s="1438">
        <v>11</v>
      </c>
      <c r="L27" s="1438">
        <v>18040</v>
      </c>
      <c r="M27" s="1442">
        <v>0</v>
      </c>
      <c r="N27" s="1438">
        <v>0</v>
      </c>
    </row>
    <row r="28" spans="1:14" ht="13.5" customHeight="1">
      <c r="A28" s="1435">
        <v>2</v>
      </c>
      <c r="B28" s="1773" t="s">
        <v>260</v>
      </c>
      <c r="C28" s="1774"/>
      <c r="D28" s="1774"/>
      <c r="E28" s="1774"/>
      <c r="F28" s="1775"/>
      <c r="G28" s="1438">
        <v>20</v>
      </c>
      <c r="H28" s="1438">
        <f>84000+42000</f>
        <v>126000</v>
      </c>
      <c r="I28" s="1438">
        <v>-2</v>
      </c>
      <c r="J28" s="1438">
        <v>-4200</v>
      </c>
      <c r="K28" s="1438">
        <v>20</v>
      </c>
      <c r="L28" s="1438">
        <f>100800+3200</f>
        <v>104000</v>
      </c>
      <c r="M28" s="1442">
        <v>0</v>
      </c>
      <c r="N28" s="1438">
        <f>-(H28+J28-L28)</f>
        <v>-17800</v>
      </c>
    </row>
    <row r="29" spans="1:14" ht="13.5" customHeight="1">
      <c r="A29" s="1435">
        <v>3</v>
      </c>
      <c r="B29" s="1765" t="s">
        <v>261</v>
      </c>
      <c r="C29" s="1766"/>
      <c r="D29" s="1766"/>
      <c r="E29" s="1766"/>
      <c r="F29" s="1767"/>
      <c r="G29" s="1438">
        <v>5</v>
      </c>
      <c r="H29" s="1438">
        <f>86667+43333</f>
        <v>130000</v>
      </c>
      <c r="I29" s="1438">
        <v>0</v>
      </c>
      <c r="J29" s="1438">
        <v>0</v>
      </c>
      <c r="K29" s="1438">
        <v>5</v>
      </c>
      <c r="L29" s="1438">
        <f>69334+43333</f>
        <v>112667</v>
      </c>
      <c r="M29" s="1442">
        <v>0</v>
      </c>
      <c r="N29" s="1438">
        <f>-(H29+J29-L29)</f>
        <v>-17333</v>
      </c>
    </row>
    <row r="30" spans="1:14" ht="12.75" customHeight="1">
      <c r="A30" s="1435">
        <v>4</v>
      </c>
      <c r="B30" s="1762" t="s">
        <v>253</v>
      </c>
      <c r="C30" s="1763"/>
      <c r="D30" s="1763"/>
      <c r="E30" s="1763"/>
      <c r="F30" s="1764"/>
      <c r="G30" s="1438">
        <v>1</v>
      </c>
      <c r="H30" s="1438">
        <v>68000</v>
      </c>
      <c r="I30" s="1438">
        <v>0</v>
      </c>
      <c r="J30" s="1438">
        <v>0</v>
      </c>
      <c r="K30" s="1438">
        <v>3</v>
      </c>
      <c r="L30" s="1438">
        <v>204000</v>
      </c>
      <c r="M30" s="1442">
        <v>0</v>
      </c>
      <c r="N30" s="1438">
        <f>-(H30+J30-L30)</f>
        <v>136000</v>
      </c>
    </row>
    <row r="31" spans="1:14" s="1443" customFormat="1" ht="17.25" customHeight="1">
      <c r="A31" s="1759" t="s">
        <v>750</v>
      </c>
      <c r="B31" s="1760"/>
      <c r="C31" s="1760"/>
      <c r="D31" s="1760"/>
      <c r="E31" s="1760"/>
      <c r="F31" s="1760"/>
      <c r="G31" s="1760"/>
      <c r="H31" s="1760"/>
      <c r="I31" s="1760"/>
      <c r="J31" s="1761"/>
      <c r="K31" s="1442"/>
      <c r="L31" s="1442">
        <f>SUM(L27:L30)</f>
        <v>438707</v>
      </c>
      <c r="M31" s="1442">
        <f>SUM(M27:M30)</f>
        <v>0</v>
      </c>
      <c r="N31" s="1442">
        <f>SUM(N27:N30)</f>
        <v>100867</v>
      </c>
    </row>
    <row r="32" spans="1:14" s="1447" customFormat="1" ht="12.75">
      <c r="A32" s="1755" t="s">
        <v>748</v>
      </c>
      <c r="B32" s="1756"/>
      <c r="C32" s="1756"/>
      <c r="D32" s="1756"/>
      <c r="E32" s="1756"/>
      <c r="F32" s="1756"/>
      <c r="G32" s="1442">
        <f>SUM(G6:G30)</f>
        <v>2626256</v>
      </c>
      <c r="H32" s="1442">
        <f>SUM(H6:H30)</f>
        <v>517113481</v>
      </c>
      <c r="I32" s="1442">
        <f>SUM(I6:I30)</f>
        <v>-44</v>
      </c>
      <c r="J32" s="1442">
        <f>SUM(J6:J30)</f>
        <v>-2402400</v>
      </c>
      <c r="K32" s="1442">
        <f>SUM(K6:K30)</f>
        <v>5923135</v>
      </c>
      <c r="L32" s="1442">
        <f>L23+L31+L25+L24</f>
        <v>559723450</v>
      </c>
      <c r="M32" s="1442">
        <f>M23</f>
        <v>335371</v>
      </c>
      <c r="N32" s="1442">
        <f>N23+N31+N24</f>
        <v>544369</v>
      </c>
    </row>
    <row r="34" spans="8:12" ht="12.75">
      <c r="H34" s="1448"/>
      <c r="I34" s="1448"/>
      <c r="J34" s="1448"/>
      <c r="K34" s="1448"/>
      <c r="L34" s="1448" t="s">
        <v>446</v>
      </c>
    </row>
    <row r="35" spans="8:12" ht="12.75">
      <c r="H35" s="1448"/>
      <c r="I35" s="1448"/>
      <c r="J35" s="1448"/>
      <c r="K35" s="1448"/>
      <c r="L35" s="1448"/>
    </row>
    <row r="36" spans="7:12" ht="12.75">
      <c r="G36" s="1428" t="s">
        <v>446</v>
      </c>
      <c r="H36" s="1448"/>
      <c r="I36" s="1448"/>
      <c r="J36" s="1448"/>
      <c r="K36" s="1448"/>
      <c r="L36" s="1448"/>
    </row>
    <row r="37" spans="7:10" ht="12.75">
      <c r="G37" s="1428" t="s">
        <v>446</v>
      </c>
      <c r="H37" s="1449" t="s">
        <v>446</v>
      </c>
      <c r="J37" s="1428" t="s">
        <v>446</v>
      </c>
    </row>
  </sheetData>
  <sheetProtection/>
  <mergeCells count="37">
    <mergeCell ref="B29:F29"/>
    <mergeCell ref="B16:B17"/>
    <mergeCell ref="C22:F22"/>
    <mergeCell ref="B19:B22"/>
    <mergeCell ref="B24:F24"/>
    <mergeCell ref="B27:F27"/>
    <mergeCell ref="B28:F28"/>
    <mergeCell ref="A32:F32"/>
    <mergeCell ref="B25:F25"/>
    <mergeCell ref="A26:N26"/>
    <mergeCell ref="A31:J31"/>
    <mergeCell ref="B30:F30"/>
    <mergeCell ref="B15:F15"/>
    <mergeCell ref="A23:J23"/>
    <mergeCell ref="C21:F21"/>
    <mergeCell ref="C19:F19"/>
    <mergeCell ref="C20:F20"/>
    <mergeCell ref="A3:A4"/>
    <mergeCell ref="B3:F4"/>
    <mergeCell ref="C9:F9"/>
    <mergeCell ref="C8:F8"/>
    <mergeCell ref="B6:F6"/>
    <mergeCell ref="B7:B11"/>
    <mergeCell ref="C10:F10"/>
    <mergeCell ref="C11:F11"/>
    <mergeCell ref="A5:N5"/>
    <mergeCell ref="M3:N3"/>
    <mergeCell ref="C7:F7"/>
    <mergeCell ref="I3:J3"/>
    <mergeCell ref="K3:L3"/>
    <mergeCell ref="C18:F18"/>
    <mergeCell ref="G3:H3"/>
    <mergeCell ref="C16:F16"/>
    <mergeCell ref="B12:F12"/>
    <mergeCell ref="B13:F13"/>
    <mergeCell ref="B14:F14"/>
    <mergeCell ref="C17:F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&amp;C2. kimutatás: a normatív állami hozzájárulások, támogatások, a normatív részesedésű átengedett SZJA elszámolása és a mutatószámok, feladatmutatók alakulása 2012. évben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5:H42"/>
  <sheetViews>
    <sheetView showGridLines="0" zoomScalePageLayoutView="0" workbookViewId="0" topLeftCell="A1">
      <selection activeCell="E23" sqref="E23"/>
    </sheetView>
  </sheetViews>
  <sheetFormatPr defaultColWidth="9.00390625" defaultRowHeight="12.75"/>
  <cols>
    <col min="1" max="1" width="4.25390625" style="1200" customWidth="1"/>
    <col min="2" max="2" width="42.875" style="1201" customWidth="1"/>
    <col min="3" max="3" width="13.00390625" style="1200" customWidth="1"/>
    <col min="4" max="4" width="9.125" style="1200" customWidth="1"/>
    <col min="5" max="5" width="12.125" style="1200" customWidth="1"/>
    <col min="6" max="6" width="11.75390625" style="1200" customWidth="1"/>
    <col min="7" max="7" width="10.375" style="1200" customWidth="1"/>
    <col min="8" max="8" width="15.375" style="1200" customWidth="1"/>
    <col min="9" max="16384" width="9.125" style="1200" customWidth="1"/>
  </cols>
  <sheetData>
    <row r="5" ht="11.25" thickBot="1">
      <c r="H5" s="1202" t="s">
        <v>356</v>
      </c>
    </row>
    <row r="6" spans="1:8" ht="10.5">
      <c r="A6" s="2233" t="s">
        <v>447</v>
      </c>
      <c r="B6" s="1203"/>
      <c r="C6" s="1204" t="s">
        <v>54</v>
      </c>
      <c r="D6" s="1204" t="s">
        <v>55</v>
      </c>
      <c r="E6" s="1204" t="s">
        <v>56</v>
      </c>
      <c r="F6" s="1204" t="s">
        <v>57</v>
      </c>
      <c r="G6" s="1204" t="s">
        <v>55</v>
      </c>
      <c r="H6" s="1205" t="s">
        <v>58</v>
      </c>
    </row>
    <row r="7" spans="1:8" ht="10.5" customHeight="1">
      <c r="A7" s="2234"/>
      <c r="B7" s="1206" t="s">
        <v>357</v>
      </c>
      <c r="C7" s="1207" t="s">
        <v>59</v>
      </c>
      <c r="D7" s="1207" t="s">
        <v>60</v>
      </c>
      <c r="E7" s="1207" t="s">
        <v>61</v>
      </c>
      <c r="F7" s="1207" t="s">
        <v>62</v>
      </c>
      <c r="G7" s="1207" t="s">
        <v>60</v>
      </c>
      <c r="H7" s="1208" t="s">
        <v>61</v>
      </c>
    </row>
    <row r="8" spans="1:8" ht="10.5" customHeight="1">
      <c r="A8" s="2234"/>
      <c r="B8" s="1209"/>
      <c r="C8" s="1207" t="s">
        <v>63</v>
      </c>
      <c r="D8" s="1207" t="s">
        <v>64</v>
      </c>
      <c r="E8" s="1207" t="s">
        <v>65</v>
      </c>
      <c r="F8" s="1207" t="s">
        <v>63</v>
      </c>
      <c r="G8" s="1207" t="s">
        <v>66</v>
      </c>
      <c r="H8" s="1208" t="s">
        <v>65</v>
      </c>
    </row>
    <row r="9" spans="1:8" ht="11.25" thickBot="1">
      <c r="A9" s="2235"/>
      <c r="B9" s="1210"/>
      <c r="C9" s="1211" t="s">
        <v>67</v>
      </c>
      <c r="D9" s="1211"/>
      <c r="E9" s="1211" t="s">
        <v>68</v>
      </c>
      <c r="F9" s="1211" t="s">
        <v>67</v>
      </c>
      <c r="G9" s="1211"/>
      <c r="H9" s="1212" t="s">
        <v>68</v>
      </c>
    </row>
    <row r="10" spans="1:8" ht="15" customHeight="1">
      <c r="A10" s="1213" t="s">
        <v>316</v>
      </c>
      <c r="B10" s="1214" t="s">
        <v>69</v>
      </c>
      <c r="C10" s="1215"/>
      <c r="D10" s="1215"/>
      <c r="E10" s="1215"/>
      <c r="F10" s="1215"/>
      <c r="G10" s="1215"/>
      <c r="H10" s="1216"/>
    </row>
    <row r="11" spans="1:8" ht="14.25" customHeight="1">
      <c r="A11" s="1217" t="s">
        <v>318</v>
      </c>
      <c r="B11" s="1218" t="s">
        <v>70</v>
      </c>
      <c r="C11" s="1219"/>
      <c r="D11" s="1219"/>
      <c r="E11" s="1219"/>
      <c r="F11" s="1219"/>
      <c r="G11" s="1219"/>
      <c r="H11" s="1220"/>
    </row>
    <row r="12" spans="1:8" ht="24.75" customHeight="1" thickBot="1">
      <c r="A12" s="1221" t="s">
        <v>319</v>
      </c>
      <c r="B12" s="1222" t="s">
        <v>71</v>
      </c>
      <c r="C12" s="1223"/>
      <c r="D12" s="1223"/>
      <c r="E12" s="1223"/>
      <c r="F12" s="1223"/>
      <c r="G12" s="1223"/>
      <c r="H12" s="1224"/>
    </row>
    <row r="13" spans="1:8" ht="24" customHeight="1" thickBot="1">
      <c r="A13" s="1225" t="s">
        <v>72</v>
      </c>
      <c r="B13" s="1226" t="s">
        <v>73</v>
      </c>
      <c r="C13" s="1227"/>
      <c r="D13" s="1227"/>
      <c r="E13" s="1227"/>
      <c r="F13" s="1227"/>
      <c r="G13" s="1227"/>
      <c r="H13" s="1228"/>
    </row>
    <row r="14" spans="1:8" ht="15" customHeight="1">
      <c r="A14" s="1229" t="s">
        <v>321</v>
      </c>
      <c r="B14" s="1230" t="s">
        <v>74</v>
      </c>
      <c r="C14" s="1215"/>
      <c r="D14" s="1215"/>
      <c r="E14" s="1215"/>
      <c r="F14" s="1215"/>
      <c r="G14" s="1215"/>
      <c r="H14" s="1216"/>
    </row>
    <row r="15" spans="1:8" ht="14.25" customHeight="1">
      <c r="A15" s="1231" t="s">
        <v>322</v>
      </c>
      <c r="B15" s="1232" t="s">
        <v>75</v>
      </c>
      <c r="C15" s="1223"/>
      <c r="D15" s="1223"/>
      <c r="E15" s="1223"/>
      <c r="F15" s="1223"/>
      <c r="G15" s="1223"/>
      <c r="H15" s="1224"/>
    </row>
    <row r="16" spans="1:8" ht="25.5" customHeight="1" thickBot="1">
      <c r="A16" s="1233" t="s">
        <v>323</v>
      </c>
      <c r="B16" s="1234" t="s">
        <v>76</v>
      </c>
      <c r="C16" s="1235"/>
      <c r="D16" s="1235"/>
      <c r="E16" s="1235"/>
      <c r="F16" s="1235"/>
      <c r="G16" s="1235"/>
      <c r="H16" s="1236"/>
    </row>
    <row r="17" spans="1:8" ht="23.25" customHeight="1" thickBot="1">
      <c r="A17" s="1237" t="s">
        <v>77</v>
      </c>
      <c r="B17" s="1238" t="s">
        <v>78</v>
      </c>
      <c r="C17" s="1239"/>
      <c r="D17" s="1239"/>
      <c r="E17" s="1239"/>
      <c r="F17" s="1239"/>
      <c r="G17" s="1239"/>
      <c r="H17" s="1240"/>
    </row>
    <row r="18" spans="1:8" ht="26.25" customHeight="1" thickBot="1">
      <c r="A18" s="1237" t="s">
        <v>79</v>
      </c>
      <c r="B18" s="1238" t="s">
        <v>80</v>
      </c>
      <c r="C18" s="1239"/>
      <c r="D18" s="1239"/>
      <c r="E18" s="1239"/>
      <c r="F18" s="1239"/>
      <c r="G18" s="1239"/>
      <c r="H18" s="1240"/>
    </row>
    <row r="19" spans="1:8" ht="13.5" customHeight="1">
      <c r="A19" s="1241" t="s">
        <v>324</v>
      </c>
      <c r="B19" s="1242" t="s">
        <v>81</v>
      </c>
      <c r="C19" s="1243"/>
      <c r="D19" s="1243"/>
      <c r="E19" s="1243"/>
      <c r="F19" s="1243"/>
      <c r="G19" s="1243"/>
      <c r="H19" s="1244"/>
    </row>
    <row r="20" spans="1:8" ht="24" customHeight="1">
      <c r="A20" s="1245" t="s">
        <v>325</v>
      </c>
      <c r="B20" s="1246" t="s">
        <v>82</v>
      </c>
      <c r="C20" s="1247"/>
      <c r="D20" s="1247"/>
      <c r="E20" s="1247"/>
      <c r="F20" s="1247"/>
      <c r="G20" s="1247"/>
      <c r="H20" s="1248"/>
    </row>
    <row r="21" spans="1:8" ht="21.75" customHeight="1" thickBot="1">
      <c r="A21" s="1249" t="s">
        <v>326</v>
      </c>
      <c r="B21" s="1250" t="s">
        <v>83</v>
      </c>
      <c r="C21" s="1251"/>
      <c r="D21" s="1251"/>
      <c r="E21" s="1251"/>
      <c r="F21" s="1251"/>
      <c r="G21" s="1251"/>
      <c r="H21" s="1252"/>
    </row>
    <row r="22" spans="1:8" ht="24.75" customHeight="1" thickBot="1">
      <c r="A22" s="1253" t="s">
        <v>997</v>
      </c>
      <c r="B22" s="1254" t="s">
        <v>84</v>
      </c>
      <c r="C22" s="1255"/>
      <c r="D22" s="1255"/>
      <c r="E22" s="1255"/>
      <c r="F22" s="1255"/>
      <c r="G22" s="1255"/>
      <c r="H22" s="1256"/>
    </row>
    <row r="23" spans="1:8" ht="22.5" customHeight="1" thickBot="1">
      <c r="A23" s="1257" t="s">
        <v>85</v>
      </c>
      <c r="B23" s="1258" t="s">
        <v>86</v>
      </c>
      <c r="C23" s="1259"/>
      <c r="D23" s="1259"/>
      <c r="E23" s="1259"/>
      <c r="F23" s="1259"/>
      <c r="G23" s="1259"/>
      <c r="H23" s="1260"/>
    </row>
    <row r="24" spans="1:8" ht="12.75" customHeight="1" thickBot="1">
      <c r="A24" s="1257" t="s">
        <v>999</v>
      </c>
      <c r="B24" s="1238" t="s">
        <v>87</v>
      </c>
      <c r="C24" s="1259"/>
      <c r="D24" s="1259"/>
      <c r="E24" s="1259"/>
      <c r="F24" s="1259"/>
      <c r="G24" s="1259"/>
      <c r="H24" s="1260"/>
    </row>
    <row r="25" spans="1:8" ht="12.75" customHeight="1">
      <c r="A25" s="1261"/>
      <c r="B25" s="1262"/>
      <c r="C25" s="1261"/>
      <c r="D25" s="1261"/>
      <c r="E25" s="1261"/>
      <c r="F25" s="1261"/>
      <c r="G25" s="1261"/>
      <c r="H25" s="1261"/>
    </row>
    <row r="26" spans="1:8" ht="12.75" customHeight="1">
      <c r="A26" s="1261"/>
      <c r="B26" s="1262"/>
      <c r="C26" s="1261"/>
      <c r="D26" s="1261"/>
      <c r="E26" s="1261"/>
      <c r="F26" s="1261"/>
      <c r="G26" s="1261"/>
      <c r="H26" s="1261"/>
    </row>
    <row r="27" spans="1:8" ht="12.75" customHeight="1">
      <c r="A27" s="2236"/>
      <c r="B27" s="2236"/>
      <c r="C27" s="2236"/>
      <c r="D27" s="2236"/>
      <c r="E27" s="2236"/>
      <c r="F27" s="2236"/>
      <c r="G27" s="2236"/>
      <c r="H27" s="2236"/>
    </row>
    <row r="28" spans="1:8" ht="12.75" customHeight="1">
      <c r="A28" s="2236"/>
      <c r="B28" s="2236"/>
      <c r="C28" s="2236"/>
      <c r="D28" s="2236"/>
      <c r="E28" s="2236"/>
      <c r="F28" s="2236"/>
      <c r="G28" s="2236"/>
      <c r="H28" s="2236"/>
    </row>
    <row r="29" spans="1:8" ht="12.75" customHeight="1">
      <c r="A29" s="1261"/>
      <c r="H29" s="1261"/>
    </row>
    <row r="30" spans="1:8" ht="12.75" customHeight="1">
      <c r="A30" s="1261"/>
      <c r="H30" s="1261"/>
    </row>
    <row r="31" spans="1:8" ht="12.75" customHeight="1">
      <c r="A31" s="1261"/>
      <c r="H31" s="1261"/>
    </row>
    <row r="32" spans="1:8" ht="12.75" customHeight="1">
      <c r="A32" s="1261"/>
      <c r="H32" s="1261"/>
    </row>
    <row r="33" spans="1:8" ht="12.75" customHeight="1">
      <c r="A33" s="1261"/>
      <c r="H33" s="1261"/>
    </row>
    <row r="34" spans="1:8" ht="10.5">
      <c r="A34" s="1261"/>
      <c r="H34" s="1261"/>
    </row>
    <row r="35" spans="1:8" ht="10.5">
      <c r="A35" s="1261"/>
      <c r="H35" s="1261"/>
    </row>
    <row r="36" spans="1:8" ht="10.5">
      <c r="A36" s="1261"/>
      <c r="H36" s="1261"/>
    </row>
    <row r="37" spans="1:8" ht="10.5">
      <c r="A37" s="1261"/>
      <c r="H37" s="1261"/>
    </row>
    <row r="38" spans="1:8" ht="10.5">
      <c r="A38" s="1261"/>
      <c r="H38" s="1261"/>
    </row>
    <row r="39" spans="1:8" ht="10.5">
      <c r="A39" s="1261"/>
      <c r="H39" s="1261"/>
    </row>
    <row r="40" ht="10.5">
      <c r="H40" s="1261"/>
    </row>
    <row r="41" ht="10.5">
      <c r="H41" s="1261"/>
    </row>
    <row r="42" ht="10.5">
      <c r="H42" s="1261"/>
    </row>
  </sheetData>
  <sheetProtection/>
  <mergeCells count="3">
    <mergeCell ref="A6:A9"/>
    <mergeCell ref="A27:H27"/>
    <mergeCell ref="A28:H28"/>
  </mergeCells>
  <printOptions/>
  <pageMargins left="1.1811023622047245" right="1.1811023622047245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119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40.125" style="1263" customWidth="1"/>
    <col min="2" max="2" width="9.875" style="1263" customWidth="1"/>
    <col min="3" max="3" width="8.00390625" style="1263" customWidth="1"/>
    <col min="4" max="4" width="9.75390625" style="1263" customWidth="1"/>
    <col min="5" max="5" width="9.375" style="1263" customWidth="1"/>
    <col min="6" max="6" width="7.125" style="1263" customWidth="1"/>
    <col min="7" max="7" width="10.125" style="1263" customWidth="1"/>
    <col min="8" max="9" width="9.25390625" style="1263" customWidth="1"/>
    <col min="10" max="10" width="6.125" style="1263" customWidth="1"/>
    <col min="11" max="11" width="9.375" style="1263" customWidth="1"/>
    <col min="12" max="12" width="8.875" style="1263" customWidth="1"/>
    <col min="13" max="13" width="6.375" style="1263" customWidth="1"/>
    <col min="14" max="14" width="9.00390625" style="1263" customWidth="1"/>
    <col min="15" max="16384" width="9.125" style="1263" customWidth="1"/>
  </cols>
  <sheetData>
    <row r="2" spans="2:7" ht="12.75">
      <c r="B2" s="2252"/>
      <c r="C2" s="2252"/>
      <c r="D2" s="2252"/>
      <c r="E2" s="2252"/>
      <c r="F2" s="2252"/>
      <c r="G2" s="2252"/>
    </row>
    <row r="3" ht="9.75" customHeight="1" thickBot="1">
      <c r="G3" s="1264" t="s">
        <v>301</v>
      </c>
    </row>
    <row r="4" spans="1:14" s="1267" customFormat="1" ht="9.75" customHeight="1">
      <c r="A4" s="2253" t="s">
        <v>88</v>
      </c>
      <c r="B4" s="2240" t="s">
        <v>1003</v>
      </c>
      <c r="C4" s="2240" t="s">
        <v>1004</v>
      </c>
      <c r="D4" s="2240" t="s">
        <v>1021</v>
      </c>
      <c r="E4" s="2240" t="s">
        <v>1006</v>
      </c>
      <c r="F4" s="2240" t="s">
        <v>1007</v>
      </c>
      <c r="G4" s="2243" t="s">
        <v>1022</v>
      </c>
      <c r="H4" s="1265"/>
      <c r="I4" s="1266"/>
      <c r="J4" s="1266"/>
      <c r="K4" s="1266"/>
      <c r="L4" s="1266"/>
      <c r="M4" s="1266"/>
      <c r="N4" s="1266"/>
    </row>
    <row r="5" spans="1:14" s="1267" customFormat="1" ht="9.75" customHeight="1">
      <c r="A5" s="2254"/>
      <c r="B5" s="2241"/>
      <c r="C5" s="2241"/>
      <c r="D5" s="2241"/>
      <c r="E5" s="2241"/>
      <c r="F5" s="2241"/>
      <c r="G5" s="2244"/>
      <c r="H5" s="1268"/>
      <c r="I5" s="1266"/>
      <c r="J5" s="1266"/>
      <c r="K5" s="1266"/>
      <c r="L5" s="1266"/>
      <c r="M5" s="1266"/>
      <c r="N5" s="1266"/>
    </row>
    <row r="6" spans="1:14" s="1267" customFormat="1" ht="9.75" customHeight="1">
      <c r="A6" s="2254"/>
      <c r="B6" s="2241"/>
      <c r="C6" s="2241"/>
      <c r="D6" s="2241"/>
      <c r="E6" s="2241"/>
      <c r="F6" s="2241"/>
      <c r="G6" s="2244"/>
      <c r="H6" s="1268"/>
      <c r="I6" s="1266"/>
      <c r="J6" s="1266"/>
      <c r="K6" s="1266"/>
      <c r="L6" s="1266"/>
      <c r="M6" s="1266"/>
      <c r="N6" s="1266"/>
    </row>
    <row r="7" spans="1:14" s="1267" customFormat="1" ht="24" customHeight="1" thickBot="1">
      <c r="A7" s="2255"/>
      <c r="B7" s="2242"/>
      <c r="C7" s="2242"/>
      <c r="D7" s="2242"/>
      <c r="E7" s="2242"/>
      <c r="F7" s="2242"/>
      <c r="G7" s="2245"/>
      <c r="H7" s="1265"/>
      <c r="I7" s="1266"/>
      <c r="J7" s="1266"/>
      <c r="K7" s="1266"/>
      <c r="L7" s="1266"/>
      <c r="M7" s="1266"/>
      <c r="N7" s="1266"/>
    </row>
    <row r="8" spans="1:14" s="1267" customFormat="1" ht="10.5" customHeight="1">
      <c r="A8" s="1269" t="s">
        <v>89</v>
      </c>
      <c r="B8" s="1270">
        <f>B9+B16+B25+B32</f>
        <v>7250160</v>
      </c>
      <c r="C8" s="1270">
        <f>C9+C16+C25+C32</f>
        <v>0</v>
      </c>
      <c r="D8" s="1270">
        <f>SUM(B8:C8)</f>
        <v>7250160</v>
      </c>
      <c r="E8" s="1270">
        <f>E9+E16+E25+E32</f>
        <v>7802184</v>
      </c>
      <c r="F8" s="1270">
        <f>F9+F16+F25+F32</f>
        <v>0</v>
      </c>
      <c r="G8" s="1271">
        <f>G9+G16+G25+G32</f>
        <v>7802184</v>
      </c>
      <c r="H8" s="1265"/>
      <c r="I8" s="1272"/>
      <c r="J8" s="1272"/>
      <c r="K8" s="1272"/>
      <c r="L8" s="1272"/>
      <c r="M8" s="1272"/>
      <c r="N8" s="1272"/>
    </row>
    <row r="9" spans="1:14" s="1267" customFormat="1" ht="10.5" customHeight="1">
      <c r="A9" s="1273" t="s">
        <v>90</v>
      </c>
      <c r="B9" s="1274">
        <f>B12+B13</f>
        <v>3692</v>
      </c>
      <c r="C9" s="1274">
        <f>SUM(C10:C15)</f>
        <v>0</v>
      </c>
      <c r="D9" s="1274">
        <f>SUM(B9:C9)</f>
        <v>3692</v>
      </c>
      <c r="E9" s="1274">
        <f>SUM(E10:E15)</f>
        <v>1507</v>
      </c>
      <c r="F9" s="1274">
        <f>SUM(F10:F15)</f>
        <v>0</v>
      </c>
      <c r="G9" s="1275">
        <f>SUM(G10:G15)</f>
        <v>1507</v>
      </c>
      <c r="H9" s="1266"/>
      <c r="I9" s="1276"/>
      <c r="J9" s="1276"/>
      <c r="K9" s="1276"/>
      <c r="L9" s="1276"/>
      <c r="M9" s="1276"/>
      <c r="N9" s="1276"/>
    </row>
    <row r="10" spans="1:14" s="1267" customFormat="1" ht="10.5" customHeight="1">
      <c r="A10" s="1277" t="s">
        <v>91</v>
      </c>
      <c r="B10" s="1278"/>
      <c r="C10" s="1278"/>
      <c r="D10" s="1278"/>
      <c r="E10" s="1278"/>
      <c r="F10" s="1278"/>
      <c r="G10" s="1279"/>
      <c r="H10" s="1266"/>
      <c r="I10" s="1276"/>
      <c r="J10" s="1276"/>
      <c r="K10" s="1276"/>
      <c r="L10" s="1276"/>
      <c r="M10" s="1276"/>
      <c r="N10" s="1276"/>
    </row>
    <row r="11" spans="1:14" s="1267" customFormat="1" ht="10.5" customHeight="1">
      <c r="A11" s="1277" t="s">
        <v>92</v>
      </c>
      <c r="B11" s="1278"/>
      <c r="C11" s="1278"/>
      <c r="D11" s="1278"/>
      <c r="E11" s="1278"/>
      <c r="F11" s="1278"/>
      <c r="G11" s="1279"/>
      <c r="H11" s="1266"/>
      <c r="I11" s="1276"/>
      <c r="J11" s="1276"/>
      <c r="K11" s="1276"/>
      <c r="L11" s="1276"/>
      <c r="M11" s="1276"/>
      <c r="N11" s="1276"/>
    </row>
    <row r="12" spans="1:14" s="1267" customFormat="1" ht="10.5" customHeight="1">
      <c r="A12" s="1277" t="s">
        <v>93</v>
      </c>
      <c r="B12" s="1278">
        <v>0</v>
      </c>
      <c r="C12" s="1278">
        <v>0</v>
      </c>
      <c r="D12" s="1278">
        <f>SUM(B12:C12)</f>
        <v>0</v>
      </c>
      <c r="E12" s="1278">
        <v>0</v>
      </c>
      <c r="F12" s="1278">
        <v>0</v>
      </c>
      <c r="G12" s="1279">
        <f>SUM(E12:F12)</f>
        <v>0</v>
      </c>
      <c r="H12" s="1266"/>
      <c r="I12" s="1276"/>
      <c r="J12" s="1276"/>
      <c r="K12" s="1276"/>
      <c r="L12" s="1276"/>
      <c r="M12" s="1276"/>
      <c r="N12" s="1276"/>
    </row>
    <row r="13" spans="1:14" s="1267" customFormat="1" ht="10.5" customHeight="1">
      <c r="A13" s="1277" t="s">
        <v>94</v>
      </c>
      <c r="B13" s="1278">
        <v>3692</v>
      </c>
      <c r="C13" s="1278">
        <v>0</v>
      </c>
      <c r="D13" s="1278">
        <f>SUM(B13:C13)</f>
        <v>3692</v>
      </c>
      <c r="E13" s="1278">
        <f>1468+39</f>
        <v>1507</v>
      </c>
      <c r="F13" s="1278">
        <v>0</v>
      </c>
      <c r="G13" s="1279">
        <f>SUM(E13:F13)</f>
        <v>1507</v>
      </c>
      <c r="H13" s="1266"/>
      <c r="I13" s="1276"/>
      <c r="J13" s="1276"/>
      <c r="K13" s="1276"/>
      <c r="L13" s="1276"/>
      <c r="M13" s="1276"/>
      <c r="N13" s="1276"/>
    </row>
    <row r="14" spans="1:14" s="1267" customFormat="1" ht="10.5" customHeight="1">
      <c r="A14" s="1277" t="s">
        <v>95</v>
      </c>
      <c r="B14" s="1278"/>
      <c r="C14" s="1278"/>
      <c r="D14" s="1278"/>
      <c r="E14" s="1278"/>
      <c r="F14" s="1278"/>
      <c r="G14" s="1279"/>
      <c r="H14" s="1266"/>
      <c r="I14" s="1276"/>
      <c r="J14" s="1276"/>
      <c r="K14" s="1276"/>
      <c r="L14" s="1276"/>
      <c r="M14" s="1276"/>
      <c r="N14" s="1276"/>
    </row>
    <row r="15" spans="1:14" s="1267" customFormat="1" ht="10.5" customHeight="1">
      <c r="A15" s="1277" t="s">
        <v>96</v>
      </c>
      <c r="B15" s="1278"/>
      <c r="C15" s="1278"/>
      <c r="D15" s="1278"/>
      <c r="E15" s="1278"/>
      <c r="F15" s="1278"/>
      <c r="G15" s="1279"/>
      <c r="H15" s="1266"/>
      <c r="I15" s="1276"/>
      <c r="J15" s="1276"/>
      <c r="K15" s="1276"/>
      <c r="L15" s="1276"/>
      <c r="M15" s="1276"/>
      <c r="N15" s="1276"/>
    </row>
    <row r="16" spans="1:14" s="1267" customFormat="1" ht="10.5" customHeight="1">
      <c r="A16" s="1273" t="s">
        <v>97</v>
      </c>
      <c r="B16" s="1274">
        <f>SUM(B17:B24)</f>
        <v>4257944</v>
      </c>
      <c r="C16" s="1274">
        <f>SUM(C17:C24)</f>
        <v>0</v>
      </c>
      <c r="D16" s="1274">
        <f>SUM(B16:C16)</f>
        <v>4257944</v>
      </c>
      <c r="E16" s="1274">
        <f>SUM(E17:E24)</f>
        <v>5035768</v>
      </c>
      <c r="F16" s="1274">
        <f>SUM(F17:F24)</f>
        <v>0</v>
      </c>
      <c r="G16" s="1275">
        <f>SUM(G17:G24)</f>
        <v>5035768</v>
      </c>
      <c r="H16" s="1265"/>
      <c r="I16" s="1276"/>
      <c r="J16" s="1276"/>
      <c r="K16" s="1276"/>
      <c r="L16" s="1276"/>
      <c r="M16" s="1276"/>
      <c r="N16" s="1276"/>
    </row>
    <row r="17" spans="1:14" s="1267" customFormat="1" ht="10.5" customHeight="1">
      <c r="A17" s="1277" t="s">
        <v>98</v>
      </c>
      <c r="B17" s="1278">
        <v>3963390</v>
      </c>
      <c r="C17" s="1278">
        <v>0</v>
      </c>
      <c r="D17" s="1278">
        <f>SUM(B17:C17)</f>
        <v>3963390</v>
      </c>
      <c r="E17" s="1278">
        <v>4023720</v>
      </c>
      <c r="F17" s="1278">
        <v>0</v>
      </c>
      <c r="G17" s="1279">
        <f>SUM(E17:F17)</f>
        <v>4023720</v>
      </c>
      <c r="H17" s="1266"/>
      <c r="I17" s="1276"/>
      <c r="J17" s="1276"/>
      <c r="K17" s="1276"/>
      <c r="L17" s="1276"/>
      <c r="M17" s="1276"/>
      <c r="N17" s="1276"/>
    </row>
    <row r="18" spans="1:14" s="1267" customFormat="1" ht="10.5" customHeight="1">
      <c r="A18" s="1277" t="s">
        <v>99</v>
      </c>
      <c r="B18" s="1278">
        <v>83230</v>
      </c>
      <c r="C18" s="1278">
        <v>0</v>
      </c>
      <c r="D18" s="1278">
        <f>SUM(B18:C18)</f>
        <v>83230</v>
      </c>
      <c r="E18" s="1278">
        <f>91852+291</f>
        <v>92143</v>
      </c>
      <c r="F18" s="1278">
        <v>0</v>
      </c>
      <c r="G18" s="1279">
        <f>SUM(E18:F18)</f>
        <v>92143</v>
      </c>
      <c r="H18" s="1266"/>
      <c r="I18" s="1276"/>
      <c r="J18" s="1276"/>
      <c r="K18" s="1276"/>
      <c r="L18" s="1276"/>
      <c r="M18" s="1276"/>
      <c r="N18" s="1276"/>
    </row>
    <row r="19" spans="1:14" s="1267" customFormat="1" ht="10.5" customHeight="1">
      <c r="A19" s="1277" t="s">
        <v>100</v>
      </c>
      <c r="B19" s="1278">
        <v>734</v>
      </c>
      <c r="C19" s="1278">
        <v>0</v>
      </c>
      <c r="D19" s="1278">
        <f>SUM(B19:C19)</f>
        <v>734</v>
      </c>
      <c r="E19" s="1278">
        <v>6795</v>
      </c>
      <c r="F19" s="1278">
        <v>0</v>
      </c>
      <c r="G19" s="1279">
        <f>SUM(E19:F19)</f>
        <v>6795</v>
      </c>
      <c r="H19" s="1266"/>
      <c r="I19" s="1276"/>
      <c r="J19" s="1276"/>
      <c r="K19" s="1276"/>
      <c r="L19" s="1276"/>
      <c r="M19" s="1276"/>
      <c r="N19" s="1276"/>
    </row>
    <row r="20" spans="1:14" s="1267" customFormat="1" ht="10.5" customHeight="1">
      <c r="A20" s="1277" t="s">
        <v>101</v>
      </c>
      <c r="B20" s="1278">
        <v>0</v>
      </c>
      <c r="C20" s="1278">
        <v>0</v>
      </c>
      <c r="D20" s="1278">
        <v>0</v>
      </c>
      <c r="E20" s="1278">
        <v>0</v>
      </c>
      <c r="F20" s="1278">
        <v>0</v>
      </c>
      <c r="G20" s="1279">
        <v>0</v>
      </c>
      <c r="H20" s="1266"/>
      <c r="I20" s="1276"/>
      <c r="J20" s="1276"/>
      <c r="K20" s="1276"/>
      <c r="L20" s="1276"/>
      <c r="M20" s="1276"/>
      <c r="N20" s="1276"/>
    </row>
    <row r="21" spans="1:14" s="1267" customFormat="1" ht="10.5" customHeight="1">
      <c r="A21" s="1277" t="s">
        <v>102</v>
      </c>
      <c r="B21" s="1278">
        <v>202090</v>
      </c>
      <c r="C21" s="1278">
        <v>0</v>
      </c>
      <c r="D21" s="1278">
        <f>SUM(B21:C21)</f>
        <v>202090</v>
      </c>
      <c r="E21" s="1278">
        <v>913110</v>
      </c>
      <c r="F21" s="1278">
        <v>0</v>
      </c>
      <c r="G21" s="1279">
        <f>SUM(E21:F21)</f>
        <v>913110</v>
      </c>
      <c r="H21" s="1266"/>
      <c r="I21" s="1276"/>
      <c r="J21" s="1276"/>
      <c r="K21" s="1276"/>
      <c r="L21" s="1276"/>
      <c r="M21" s="1276"/>
      <c r="N21" s="1276"/>
    </row>
    <row r="22" spans="1:14" s="1267" customFormat="1" ht="10.5" customHeight="1">
      <c r="A22" s="1277" t="s">
        <v>103</v>
      </c>
      <c r="B22" s="1278">
        <v>8500</v>
      </c>
      <c r="C22" s="1278">
        <v>0</v>
      </c>
      <c r="D22" s="1278">
        <f>SUM(B22:C22)</f>
        <v>8500</v>
      </c>
      <c r="E22" s="1278">
        <v>0</v>
      </c>
      <c r="F22" s="1278">
        <v>0</v>
      </c>
      <c r="G22" s="1279">
        <f>SUM(E22:F22)</f>
        <v>0</v>
      </c>
      <c r="H22" s="1266"/>
      <c r="I22" s="1276"/>
      <c r="J22" s="1276"/>
      <c r="K22" s="1276"/>
      <c r="L22" s="1276"/>
      <c r="M22" s="1276"/>
      <c r="N22" s="1276"/>
    </row>
    <row r="23" spans="1:14" s="1267" customFormat="1" ht="10.5" customHeight="1">
      <c r="A23" s="1277" t="s">
        <v>104</v>
      </c>
      <c r="B23" s="1278">
        <v>0</v>
      </c>
      <c r="C23" s="1278">
        <v>0</v>
      </c>
      <c r="D23" s="1278">
        <v>0</v>
      </c>
      <c r="E23" s="1278">
        <v>0</v>
      </c>
      <c r="F23" s="1278">
        <v>0</v>
      </c>
      <c r="G23" s="1279">
        <f>SUM(E23:F23)</f>
        <v>0</v>
      </c>
      <c r="H23" s="1266"/>
      <c r="I23" s="1276"/>
      <c r="J23" s="1276"/>
      <c r="K23" s="1276"/>
      <c r="L23" s="1276"/>
      <c r="M23" s="1276"/>
      <c r="N23" s="1276"/>
    </row>
    <row r="24" spans="1:14" s="1267" customFormat="1" ht="10.5" customHeight="1">
      <c r="A24" s="1277" t="s">
        <v>105</v>
      </c>
      <c r="B24" s="1278">
        <v>0</v>
      </c>
      <c r="C24" s="1278">
        <v>0</v>
      </c>
      <c r="D24" s="1278">
        <f>B24</f>
        <v>0</v>
      </c>
      <c r="E24" s="1278">
        <v>0</v>
      </c>
      <c r="F24" s="1278">
        <v>0</v>
      </c>
      <c r="G24" s="1279">
        <f>SUM(E24:F24)</f>
        <v>0</v>
      </c>
      <c r="H24" s="1266"/>
      <c r="I24" s="1276"/>
      <c r="J24" s="1276"/>
      <c r="K24" s="1276"/>
      <c r="L24" s="1276"/>
      <c r="M24" s="1276"/>
      <c r="N24" s="1276"/>
    </row>
    <row r="25" spans="1:14" s="1267" customFormat="1" ht="10.5" customHeight="1">
      <c r="A25" s="1273" t="s">
        <v>106</v>
      </c>
      <c r="B25" s="1274">
        <f>SUM(B26:B31)</f>
        <v>96051</v>
      </c>
      <c r="C25" s="1274">
        <f>SUM(C26:C31)</f>
        <v>0</v>
      </c>
      <c r="D25" s="1274">
        <f>SUM(B25:C25)</f>
        <v>96051</v>
      </c>
      <c r="E25" s="1274">
        <f>SUM(E26:E31)</f>
        <v>40516</v>
      </c>
      <c r="F25" s="1274">
        <f>SUM(F26:F31)</f>
        <v>0</v>
      </c>
      <c r="G25" s="1275">
        <f>SUM(G26:G31)</f>
        <v>40516</v>
      </c>
      <c r="H25" s="1266"/>
      <c r="I25" s="1276"/>
      <c r="J25" s="1276"/>
      <c r="K25" s="1276"/>
      <c r="L25" s="1276"/>
      <c r="M25" s="1276"/>
      <c r="N25" s="1276"/>
    </row>
    <row r="26" spans="1:14" s="1267" customFormat="1" ht="10.5" customHeight="1">
      <c r="A26" s="1277" t="s">
        <v>107</v>
      </c>
      <c r="B26" s="1278">
        <v>36577</v>
      </c>
      <c r="C26" s="1278">
        <v>0</v>
      </c>
      <c r="D26" s="1278">
        <f>SUM(B26:C26)</f>
        <v>36577</v>
      </c>
      <c r="E26" s="1278">
        <v>36577</v>
      </c>
      <c r="F26" s="1278">
        <v>0</v>
      </c>
      <c r="G26" s="1279">
        <f>SUM(E26:F26)</f>
        <v>36577</v>
      </c>
      <c r="H26" s="1266"/>
      <c r="I26" s="1276"/>
      <c r="J26" s="1276"/>
      <c r="K26" s="1276"/>
      <c r="L26" s="1276"/>
      <c r="M26" s="1276"/>
      <c r="N26" s="1276"/>
    </row>
    <row r="27" spans="1:14" s="1267" customFormat="1" ht="10.5" customHeight="1">
      <c r="A27" s="1277" t="s">
        <v>108</v>
      </c>
      <c r="B27" s="1278">
        <v>0</v>
      </c>
      <c r="C27" s="1278">
        <v>0</v>
      </c>
      <c r="D27" s="1278">
        <v>0</v>
      </c>
      <c r="E27" s="1278">
        <v>0</v>
      </c>
      <c r="F27" s="1278">
        <v>0</v>
      </c>
      <c r="G27" s="1279">
        <v>0</v>
      </c>
      <c r="H27" s="1266"/>
      <c r="I27" s="1276"/>
      <c r="J27" s="1276"/>
      <c r="K27" s="1276"/>
      <c r="L27" s="1276"/>
      <c r="M27" s="1276"/>
      <c r="N27" s="1276"/>
    </row>
    <row r="28" spans="1:14" s="1267" customFormat="1" ht="10.5" customHeight="1">
      <c r="A28" s="1277" t="s">
        <v>109</v>
      </c>
      <c r="B28" s="1278">
        <v>55535</v>
      </c>
      <c r="C28" s="1278">
        <v>0</v>
      </c>
      <c r="D28" s="1278">
        <f>SUM(B28:C28)</f>
        <v>55535</v>
      </c>
      <c r="E28" s="1278">
        <v>0</v>
      </c>
      <c r="F28" s="1278">
        <v>0</v>
      </c>
      <c r="G28" s="1279">
        <f>SUM(E28:F28)</f>
        <v>0</v>
      </c>
      <c r="H28" s="1280"/>
      <c r="I28" s="1276"/>
      <c r="J28" s="1276"/>
      <c r="K28" s="1276"/>
      <c r="L28" s="1276"/>
      <c r="M28" s="1276"/>
      <c r="N28" s="1276"/>
    </row>
    <row r="29" spans="1:14" s="1267" customFormat="1" ht="10.5" customHeight="1">
      <c r="A29" s="1277" t="s">
        <v>110</v>
      </c>
      <c r="B29" s="1278">
        <v>0</v>
      </c>
      <c r="C29" s="1278">
        <v>0</v>
      </c>
      <c r="D29" s="1278">
        <v>0</v>
      </c>
      <c r="E29" s="1278">
        <v>0</v>
      </c>
      <c r="F29" s="1278">
        <v>0</v>
      </c>
      <c r="G29" s="1279">
        <v>0</v>
      </c>
      <c r="H29" s="1266"/>
      <c r="I29" s="1276"/>
      <c r="J29" s="1276"/>
      <c r="K29" s="1276"/>
      <c r="L29" s="1276"/>
      <c r="M29" s="1276"/>
      <c r="N29" s="1276"/>
    </row>
    <row r="30" spans="1:14" s="1267" customFormat="1" ht="10.5" customHeight="1">
      <c r="A30" s="1277" t="s">
        <v>111</v>
      </c>
      <c r="B30" s="1278">
        <v>3939</v>
      </c>
      <c r="C30" s="1278">
        <v>0</v>
      </c>
      <c r="D30" s="1278">
        <f>SUM(B30:C30)</f>
        <v>3939</v>
      </c>
      <c r="E30" s="1278">
        <v>3939</v>
      </c>
      <c r="F30" s="1278">
        <v>0</v>
      </c>
      <c r="G30" s="1279">
        <f>SUM(E30:F30)</f>
        <v>3939</v>
      </c>
      <c r="H30" s="1266"/>
      <c r="I30" s="1276"/>
      <c r="J30" s="1276"/>
      <c r="K30" s="1276"/>
      <c r="L30" s="1276"/>
      <c r="M30" s="1276"/>
      <c r="N30" s="1276"/>
    </row>
    <row r="31" spans="1:14" s="1267" customFormat="1" ht="10.5" customHeight="1">
      <c r="A31" s="1277" t="s">
        <v>112</v>
      </c>
      <c r="B31" s="1278">
        <v>0</v>
      </c>
      <c r="C31" s="1278">
        <v>0</v>
      </c>
      <c r="D31" s="1278">
        <v>0</v>
      </c>
      <c r="E31" s="1278">
        <v>0</v>
      </c>
      <c r="F31" s="1278">
        <v>0</v>
      </c>
      <c r="G31" s="1279">
        <v>0</v>
      </c>
      <c r="H31" s="1266"/>
      <c r="I31" s="1276"/>
      <c r="J31" s="1276"/>
      <c r="K31" s="1276"/>
      <c r="L31" s="1276"/>
      <c r="M31" s="1276"/>
      <c r="N31" s="1276"/>
    </row>
    <row r="32" spans="1:14" s="1267" customFormat="1" ht="21.75" customHeight="1">
      <c r="A32" s="1281" t="s">
        <v>175</v>
      </c>
      <c r="B32" s="1274">
        <f>SUM(B33:B37)</f>
        <v>2892473</v>
      </c>
      <c r="C32" s="1274">
        <f>SUM(C33:C37)</f>
        <v>0</v>
      </c>
      <c r="D32" s="1274">
        <f>SUM(B32:C32)</f>
        <v>2892473</v>
      </c>
      <c r="E32" s="1274">
        <f>SUM(E33:E37)</f>
        <v>2724393</v>
      </c>
      <c r="F32" s="1274">
        <f>SUM(F33:F37)</f>
        <v>0</v>
      </c>
      <c r="G32" s="1275">
        <f>SUM(G33:G37)</f>
        <v>2724393</v>
      </c>
      <c r="H32" s="1265"/>
      <c r="I32" s="1282"/>
      <c r="J32" s="1282"/>
      <c r="K32" s="1282"/>
      <c r="L32" s="1282"/>
      <c r="M32" s="1282"/>
      <c r="N32" s="1282"/>
    </row>
    <row r="33" spans="1:14" s="1267" customFormat="1" ht="11.25">
      <c r="A33" s="1277" t="s">
        <v>113</v>
      </c>
      <c r="B33" s="1278">
        <v>2407922</v>
      </c>
      <c r="C33" s="1278"/>
      <c r="D33" s="1278">
        <f>SUM(B33:C33)</f>
        <v>2407922</v>
      </c>
      <c r="E33" s="1278">
        <v>2240083</v>
      </c>
      <c r="F33" s="1278">
        <v>0</v>
      </c>
      <c r="G33" s="1279">
        <f>SUM(E33:F33)</f>
        <v>2240083</v>
      </c>
      <c r="H33" s="1265"/>
      <c r="I33" s="1282"/>
      <c r="J33" s="1282"/>
      <c r="K33" s="1282"/>
      <c r="L33" s="1282"/>
      <c r="M33" s="1282"/>
      <c r="N33" s="1282"/>
    </row>
    <row r="34" spans="1:14" s="1267" customFormat="1" ht="11.25">
      <c r="A34" s="1277" t="s">
        <v>114</v>
      </c>
      <c r="B34" s="1278"/>
      <c r="C34" s="1278"/>
      <c r="D34" s="1278"/>
      <c r="E34" s="1278"/>
      <c r="F34" s="1278"/>
      <c r="G34" s="1279"/>
      <c r="H34" s="1265"/>
      <c r="I34" s="1282"/>
      <c r="J34" s="1282"/>
      <c r="K34" s="1282"/>
      <c r="L34" s="1282"/>
      <c r="M34" s="1282"/>
      <c r="N34" s="1282"/>
    </row>
    <row r="35" spans="1:14" s="1267" customFormat="1" ht="11.25">
      <c r="A35" s="1277" t="s">
        <v>115</v>
      </c>
      <c r="B35" s="1278">
        <v>484551</v>
      </c>
      <c r="C35" s="1278"/>
      <c r="D35" s="1278">
        <f>B35</f>
        <v>484551</v>
      </c>
      <c r="E35" s="1278">
        <v>484310</v>
      </c>
      <c r="F35" s="1278"/>
      <c r="G35" s="1279">
        <f>SUM(E35:F35)</f>
        <v>484310</v>
      </c>
      <c r="H35" s="1265"/>
      <c r="I35" s="1282"/>
      <c r="J35" s="1282"/>
      <c r="K35" s="1282"/>
      <c r="L35" s="1282"/>
      <c r="M35" s="1282"/>
      <c r="N35" s="1282"/>
    </row>
    <row r="36" spans="1:14" s="1267" customFormat="1" ht="11.25">
      <c r="A36" s="1277" t="s">
        <v>116</v>
      </c>
      <c r="B36" s="1278"/>
      <c r="C36" s="1278"/>
      <c r="D36" s="1278"/>
      <c r="E36" s="1278"/>
      <c r="F36" s="1278"/>
      <c r="G36" s="1279"/>
      <c r="H36" s="1265"/>
      <c r="I36" s="1282"/>
      <c r="J36" s="1282"/>
      <c r="K36" s="1282"/>
      <c r="L36" s="1282"/>
      <c r="M36" s="1282"/>
      <c r="N36" s="1282"/>
    </row>
    <row r="37" spans="1:14" s="1267" customFormat="1" ht="21">
      <c r="A37" s="1283" t="s">
        <v>117</v>
      </c>
      <c r="B37" s="1278"/>
      <c r="C37" s="1278"/>
      <c r="D37" s="1278"/>
      <c r="E37" s="1278"/>
      <c r="F37" s="1278"/>
      <c r="G37" s="1279"/>
      <c r="H37" s="1265"/>
      <c r="I37" s="1282"/>
      <c r="J37" s="1282"/>
      <c r="K37" s="1282"/>
      <c r="L37" s="1282"/>
      <c r="M37" s="1282"/>
      <c r="N37" s="1282"/>
    </row>
    <row r="38" spans="1:14" s="1267" customFormat="1" ht="10.5" customHeight="1">
      <c r="A38" s="1284" t="s">
        <v>1014</v>
      </c>
      <c r="B38" s="1285">
        <f>B39+B46+B57+B64+B69</f>
        <v>1377167</v>
      </c>
      <c r="C38" s="1285">
        <f>C39+C46+C57+C64+C69</f>
        <v>0</v>
      </c>
      <c r="D38" s="1285">
        <f>SUM(B38:C38)</f>
        <v>1377167</v>
      </c>
      <c r="E38" s="1285">
        <f>E39+E46+E57+E64+E69</f>
        <v>1498039</v>
      </c>
      <c r="F38" s="1285">
        <f>F39+F46+F57+F64+F69</f>
        <v>0</v>
      </c>
      <c r="G38" s="1286">
        <f>G39+G46+G57+G64+G69</f>
        <v>1498039</v>
      </c>
      <c r="H38" s="1266"/>
      <c r="I38" s="1276"/>
      <c r="J38" s="1276"/>
      <c r="K38" s="1276"/>
      <c r="L38" s="1276"/>
      <c r="M38" s="1276"/>
      <c r="N38" s="1276"/>
    </row>
    <row r="39" spans="1:14" s="1267" customFormat="1" ht="8.25" customHeight="1">
      <c r="A39" s="1287" t="s">
        <v>118</v>
      </c>
      <c r="B39" s="1274">
        <f>B40</f>
        <v>2824</v>
      </c>
      <c r="C39" s="1274">
        <f>SUM(C40:C45)</f>
        <v>0</v>
      </c>
      <c r="D39" s="1274">
        <f>SUM(B39:C39)</f>
        <v>2824</v>
      </c>
      <c r="E39" s="1274">
        <f>SUM(E40:E45)</f>
        <v>2231</v>
      </c>
      <c r="F39" s="1274">
        <f>SUM(F40:F45)</f>
        <v>0</v>
      </c>
      <c r="G39" s="1275">
        <f>SUM(G40:G45)</f>
        <v>2231</v>
      </c>
      <c r="H39" s="1266"/>
      <c r="I39" s="1276"/>
      <c r="J39" s="1276"/>
      <c r="K39" s="1276"/>
      <c r="L39" s="1276"/>
      <c r="M39" s="1276"/>
      <c r="N39" s="1276"/>
    </row>
    <row r="40" spans="1:14" s="1267" customFormat="1" ht="10.5" customHeight="1">
      <c r="A40" s="1277" t="s">
        <v>119</v>
      </c>
      <c r="B40" s="1278">
        <v>2824</v>
      </c>
      <c r="C40" s="1278">
        <v>0</v>
      </c>
      <c r="D40" s="1278">
        <f>SUM(B40:C40)</f>
        <v>2824</v>
      </c>
      <c r="E40" s="1278">
        <v>2231</v>
      </c>
      <c r="F40" s="1278">
        <v>0</v>
      </c>
      <c r="G40" s="1279">
        <f>SUM(E40:F40)</f>
        <v>2231</v>
      </c>
      <c r="H40" s="1266"/>
      <c r="I40" s="1276"/>
      <c r="J40" s="1276"/>
      <c r="K40" s="1276"/>
      <c r="L40" s="1276"/>
      <c r="M40" s="1276"/>
      <c r="N40" s="1276"/>
    </row>
    <row r="41" spans="1:14" s="1267" customFormat="1" ht="10.5" customHeight="1">
      <c r="A41" s="1277" t="s">
        <v>120</v>
      </c>
      <c r="B41" s="1278"/>
      <c r="C41" s="1278"/>
      <c r="D41" s="1278"/>
      <c r="E41" s="1278"/>
      <c r="F41" s="1278"/>
      <c r="G41" s="1279"/>
      <c r="H41" s="1266"/>
      <c r="I41" s="1276"/>
      <c r="J41" s="1276"/>
      <c r="K41" s="1276"/>
      <c r="L41" s="1276"/>
      <c r="M41" s="1276"/>
      <c r="N41" s="1276"/>
    </row>
    <row r="42" spans="1:14" s="1267" customFormat="1" ht="10.5" customHeight="1">
      <c r="A42" s="1277" t="s">
        <v>121</v>
      </c>
      <c r="B42" s="1278"/>
      <c r="C42" s="1278"/>
      <c r="D42" s="1278"/>
      <c r="E42" s="1278"/>
      <c r="F42" s="1278"/>
      <c r="G42" s="1279"/>
      <c r="H42" s="1266"/>
      <c r="I42" s="1276"/>
      <c r="J42" s="1276"/>
      <c r="K42" s="1276"/>
      <c r="L42" s="1276"/>
      <c r="M42" s="1276"/>
      <c r="N42" s="1276"/>
    </row>
    <row r="43" spans="1:14" s="1267" customFormat="1" ht="10.5" customHeight="1">
      <c r="A43" s="1277" t="s">
        <v>122</v>
      </c>
      <c r="B43" s="1278">
        <v>0</v>
      </c>
      <c r="C43" s="1278">
        <v>0</v>
      </c>
      <c r="D43" s="1278">
        <f>SUM(B43:C43)</f>
        <v>0</v>
      </c>
      <c r="E43" s="1278">
        <v>0</v>
      </c>
      <c r="F43" s="1278">
        <v>0</v>
      </c>
      <c r="G43" s="1279">
        <f>SUM(E43:F43)</f>
        <v>0</v>
      </c>
      <c r="H43" s="1266"/>
      <c r="I43" s="1276"/>
      <c r="J43" s="1276"/>
      <c r="K43" s="1276"/>
      <c r="L43" s="1276"/>
      <c r="M43" s="1276"/>
      <c r="N43" s="1276"/>
    </row>
    <row r="44" spans="1:14" s="1267" customFormat="1" ht="12" customHeight="1">
      <c r="A44" s="1283" t="s">
        <v>346</v>
      </c>
      <c r="B44" s="1278"/>
      <c r="C44" s="1278"/>
      <c r="D44" s="1278"/>
      <c r="E44" s="1278"/>
      <c r="F44" s="1278"/>
      <c r="G44" s="1279"/>
      <c r="H44" s="1266"/>
      <c r="I44" s="1276"/>
      <c r="J44" s="1276"/>
      <c r="K44" s="1276"/>
      <c r="L44" s="1276"/>
      <c r="M44" s="1276"/>
      <c r="N44" s="1276"/>
    </row>
    <row r="45" spans="1:14" s="1267" customFormat="1" ht="11.25">
      <c r="A45" s="1283" t="s">
        <v>347</v>
      </c>
      <c r="B45" s="1278">
        <v>0</v>
      </c>
      <c r="C45" s="1278">
        <v>0</v>
      </c>
      <c r="D45" s="1278">
        <f>SUM(B45:C45)</f>
        <v>0</v>
      </c>
      <c r="E45" s="1278">
        <v>0</v>
      </c>
      <c r="F45" s="1278">
        <v>0</v>
      </c>
      <c r="G45" s="1279">
        <f>SUM(E45:F45)</f>
        <v>0</v>
      </c>
      <c r="H45" s="1266"/>
      <c r="I45" s="1276"/>
      <c r="J45" s="1276"/>
      <c r="K45" s="1276"/>
      <c r="L45" s="1276"/>
      <c r="M45" s="1276"/>
      <c r="N45" s="1276"/>
    </row>
    <row r="46" spans="1:14" s="1267" customFormat="1" ht="10.5" customHeight="1">
      <c r="A46" s="1287" t="s">
        <v>123</v>
      </c>
      <c r="B46" s="1274">
        <f>SUM(B47:B50)</f>
        <v>218932</v>
      </c>
      <c r="C46" s="1274">
        <f>SUM(C47:C50)</f>
        <v>0</v>
      </c>
      <c r="D46" s="1274">
        <f>SUM(B46:C46)</f>
        <v>218932</v>
      </c>
      <c r="E46" s="1274">
        <f>SUM(E47:E50)</f>
        <v>320660</v>
      </c>
      <c r="F46" s="1274">
        <f>SUM(F47:F50)</f>
        <v>0</v>
      </c>
      <c r="G46" s="1275">
        <f>SUM(G47:G50)</f>
        <v>320660</v>
      </c>
      <c r="H46" s="1266"/>
      <c r="I46" s="1276"/>
      <c r="J46" s="1276"/>
      <c r="K46" s="1276"/>
      <c r="L46" s="1276"/>
      <c r="M46" s="1276"/>
      <c r="N46" s="1276"/>
    </row>
    <row r="47" spans="1:14" s="1267" customFormat="1" ht="10.5" customHeight="1">
      <c r="A47" s="1277" t="s">
        <v>124</v>
      </c>
      <c r="B47" s="1278">
        <v>72117</v>
      </c>
      <c r="C47" s="1278"/>
      <c r="D47" s="1278">
        <f>SUM(B47:C47)</f>
        <v>72117</v>
      </c>
      <c r="E47" s="1278">
        <f>23869+2991</f>
        <v>26860</v>
      </c>
      <c r="F47" s="1278">
        <v>0</v>
      </c>
      <c r="G47" s="1279">
        <f aca="true" t="shared" si="0" ref="G47:G56">SUM(E47:F47)</f>
        <v>26860</v>
      </c>
      <c r="H47" s="1266"/>
      <c r="I47" s="1276"/>
      <c r="J47" s="1276"/>
      <c r="K47" s="1276"/>
      <c r="L47" s="1276"/>
      <c r="M47" s="1276"/>
      <c r="N47" s="1276"/>
    </row>
    <row r="48" spans="1:14" s="1267" customFormat="1" ht="10.5" customHeight="1">
      <c r="A48" s="1277" t="s">
        <v>125</v>
      </c>
      <c r="B48" s="1278">
        <v>142389</v>
      </c>
      <c r="C48" s="1278"/>
      <c r="D48" s="1278">
        <f>SUM(B48:C48)</f>
        <v>142389</v>
      </c>
      <c r="E48" s="1278">
        <v>245324</v>
      </c>
      <c r="F48" s="1278">
        <v>0</v>
      </c>
      <c r="G48" s="1279">
        <f t="shared" si="0"/>
        <v>245324</v>
      </c>
      <c r="H48" s="1266"/>
      <c r="I48" s="1276"/>
      <c r="J48" s="1276"/>
      <c r="K48" s="1276"/>
      <c r="L48" s="1276"/>
      <c r="M48" s="1276"/>
      <c r="N48" s="1276"/>
    </row>
    <row r="49" spans="1:14" s="1267" customFormat="1" ht="10.5" customHeight="1">
      <c r="A49" s="1277" t="s">
        <v>126</v>
      </c>
      <c r="B49" s="1278">
        <v>0</v>
      </c>
      <c r="C49" s="1278"/>
      <c r="D49" s="1278">
        <v>0</v>
      </c>
      <c r="E49" s="1278">
        <v>46417</v>
      </c>
      <c r="F49" s="1278"/>
      <c r="G49" s="1279">
        <f t="shared" si="0"/>
        <v>46417</v>
      </c>
      <c r="H49" s="1266"/>
      <c r="I49" s="1276"/>
      <c r="J49" s="1276"/>
      <c r="K49" s="1276"/>
      <c r="L49" s="1276"/>
      <c r="M49" s="1276"/>
      <c r="N49" s="1276"/>
    </row>
    <row r="50" spans="1:14" s="1267" customFormat="1" ht="10.5" customHeight="1">
      <c r="A50" s="1277" t="s">
        <v>127</v>
      </c>
      <c r="B50" s="1278">
        <v>4426</v>
      </c>
      <c r="C50" s="1278"/>
      <c r="D50" s="1278">
        <f aca="true" t="shared" si="1" ref="D50:D57">SUM(B50:C50)</f>
        <v>4426</v>
      </c>
      <c r="E50" s="1278">
        <v>2059</v>
      </c>
      <c r="F50" s="1278">
        <v>0</v>
      </c>
      <c r="G50" s="1279">
        <f t="shared" si="0"/>
        <v>2059</v>
      </c>
      <c r="H50" s="1266"/>
      <c r="I50" s="1276"/>
      <c r="J50" s="1276"/>
      <c r="K50" s="1276"/>
      <c r="L50" s="1276"/>
      <c r="M50" s="1276"/>
      <c r="N50" s="1276"/>
    </row>
    <row r="51" spans="1:14" s="1267" customFormat="1" ht="21">
      <c r="A51" s="1283" t="s">
        <v>128</v>
      </c>
      <c r="B51" s="1278">
        <v>0</v>
      </c>
      <c r="C51" s="1278"/>
      <c r="D51" s="1278">
        <f t="shared" si="1"/>
        <v>0</v>
      </c>
      <c r="E51" s="1278">
        <v>0</v>
      </c>
      <c r="F51" s="1278">
        <v>0</v>
      </c>
      <c r="G51" s="1279">
        <f t="shared" si="0"/>
        <v>0</v>
      </c>
      <c r="H51" s="1266"/>
      <c r="I51" s="1276"/>
      <c r="J51" s="1276"/>
      <c r="K51" s="1276"/>
      <c r="L51" s="1276"/>
      <c r="M51" s="1276"/>
      <c r="N51" s="1276"/>
    </row>
    <row r="52" spans="1:14" s="1267" customFormat="1" ht="11.25">
      <c r="A52" s="1283" t="s">
        <v>129</v>
      </c>
      <c r="B52" s="1278">
        <v>0</v>
      </c>
      <c r="C52" s="1278"/>
      <c r="D52" s="1278">
        <f t="shared" si="1"/>
        <v>0</v>
      </c>
      <c r="E52" s="1278">
        <v>0</v>
      </c>
      <c r="F52" s="1278"/>
      <c r="G52" s="1279">
        <f t="shared" si="0"/>
        <v>0</v>
      </c>
      <c r="H52" s="1266"/>
      <c r="I52" s="1276"/>
      <c r="J52" s="1276"/>
      <c r="K52" s="1276"/>
      <c r="L52" s="1276"/>
      <c r="M52" s="1276"/>
      <c r="N52" s="1276"/>
    </row>
    <row r="53" spans="1:14" s="1267" customFormat="1" ht="11.25">
      <c r="A53" s="1283" t="s">
        <v>130</v>
      </c>
      <c r="B53" s="1278">
        <v>0</v>
      </c>
      <c r="C53" s="1278"/>
      <c r="D53" s="1278">
        <f t="shared" si="1"/>
        <v>0</v>
      </c>
      <c r="E53" s="1278">
        <v>0</v>
      </c>
      <c r="F53" s="1278"/>
      <c r="G53" s="1279">
        <f t="shared" si="0"/>
        <v>0</v>
      </c>
      <c r="H53" s="1266"/>
      <c r="I53" s="1276"/>
      <c r="J53" s="1276"/>
      <c r="K53" s="1276"/>
      <c r="L53" s="1276"/>
      <c r="M53" s="1276"/>
      <c r="N53" s="1276"/>
    </row>
    <row r="54" spans="1:14" s="1267" customFormat="1" ht="11.25">
      <c r="A54" s="1283" t="s">
        <v>131</v>
      </c>
      <c r="B54" s="1278">
        <v>0</v>
      </c>
      <c r="C54" s="1278"/>
      <c r="D54" s="1278">
        <f t="shared" si="1"/>
        <v>0</v>
      </c>
      <c r="E54" s="1278">
        <v>0</v>
      </c>
      <c r="F54" s="1278"/>
      <c r="G54" s="1279">
        <f t="shared" si="0"/>
        <v>0</v>
      </c>
      <c r="H54" s="1266"/>
      <c r="I54" s="1276"/>
      <c r="J54" s="1276"/>
      <c r="K54" s="1276"/>
      <c r="L54" s="1276"/>
      <c r="M54" s="1276"/>
      <c r="N54" s="1276"/>
    </row>
    <row r="55" spans="1:14" s="1267" customFormat="1" ht="18.75" customHeight="1">
      <c r="A55" s="1283" t="s">
        <v>132</v>
      </c>
      <c r="B55" s="1278">
        <v>0</v>
      </c>
      <c r="C55" s="1278"/>
      <c r="D55" s="1278">
        <f t="shared" si="1"/>
        <v>0</v>
      </c>
      <c r="E55" s="1278">
        <v>0</v>
      </c>
      <c r="F55" s="1278"/>
      <c r="G55" s="1279">
        <f t="shared" si="0"/>
        <v>0</v>
      </c>
      <c r="H55" s="1266"/>
      <c r="I55" s="1276"/>
      <c r="J55" s="1276"/>
      <c r="K55" s="1276"/>
      <c r="L55" s="1276"/>
      <c r="M55" s="1276"/>
      <c r="N55" s="1276"/>
    </row>
    <row r="56" spans="1:14" s="1267" customFormat="1" ht="11.25">
      <c r="A56" s="1283" t="s">
        <v>133</v>
      </c>
      <c r="B56" s="1278">
        <v>0</v>
      </c>
      <c r="C56" s="1278"/>
      <c r="D56" s="1278">
        <f t="shared" si="1"/>
        <v>0</v>
      </c>
      <c r="E56" s="1278">
        <v>0</v>
      </c>
      <c r="F56" s="1278"/>
      <c r="G56" s="1279">
        <f t="shared" si="0"/>
        <v>0</v>
      </c>
      <c r="H56" s="1266"/>
      <c r="I56" s="1276"/>
      <c r="J56" s="1276"/>
      <c r="K56" s="1276"/>
      <c r="L56" s="1276"/>
      <c r="M56" s="1276"/>
      <c r="N56" s="1276"/>
    </row>
    <row r="57" spans="1:14" s="1267" customFormat="1" ht="10.5" customHeight="1">
      <c r="A57" s="1288" t="s">
        <v>134</v>
      </c>
      <c r="B57" s="1289">
        <f>SUM(B62:B63)</f>
        <v>0</v>
      </c>
      <c r="C57" s="1289">
        <f>SUM(C62:C63)</f>
        <v>0</v>
      </c>
      <c r="D57" s="1289">
        <f t="shared" si="1"/>
        <v>0</v>
      </c>
      <c r="E57" s="1289">
        <f>SUM(E62:E63)</f>
        <v>0</v>
      </c>
      <c r="F57" s="1289">
        <f>SUM(F62:F63)</f>
        <v>0</v>
      </c>
      <c r="G57" s="1290">
        <f>SUM(G62:G63)</f>
        <v>0</v>
      </c>
      <c r="H57" s="1266"/>
      <c r="I57" s="1276"/>
      <c r="J57" s="1276"/>
      <c r="K57" s="1276"/>
      <c r="L57" s="1276"/>
      <c r="M57" s="1276"/>
      <c r="N57" s="1276"/>
    </row>
    <row r="58" spans="1:14" s="1267" customFormat="1" ht="10.5" customHeight="1">
      <c r="A58" s="1288" t="s">
        <v>135</v>
      </c>
      <c r="B58" s="1291">
        <v>0</v>
      </c>
      <c r="C58" s="1289"/>
      <c r="D58" s="1291">
        <v>0</v>
      </c>
      <c r="E58" s="1291">
        <v>0</v>
      </c>
      <c r="F58" s="1291"/>
      <c r="G58" s="1292">
        <v>0</v>
      </c>
      <c r="H58" s="1266"/>
      <c r="I58" s="1276"/>
      <c r="J58" s="1276"/>
      <c r="K58" s="1276"/>
      <c r="L58" s="1276"/>
      <c r="M58" s="1276"/>
      <c r="N58" s="1276"/>
    </row>
    <row r="59" spans="1:14" s="1267" customFormat="1" ht="10.5" customHeight="1">
      <c r="A59" s="1288" t="s">
        <v>136</v>
      </c>
      <c r="B59" s="1291">
        <v>0</v>
      </c>
      <c r="C59" s="1289"/>
      <c r="D59" s="1291">
        <v>0</v>
      </c>
      <c r="E59" s="1291">
        <v>0</v>
      </c>
      <c r="F59" s="1291"/>
      <c r="G59" s="1292">
        <v>0</v>
      </c>
      <c r="H59" s="1266"/>
      <c r="I59" s="1276"/>
      <c r="J59" s="1276"/>
      <c r="K59" s="1276"/>
      <c r="L59" s="1276"/>
      <c r="M59" s="1276"/>
      <c r="N59" s="1276"/>
    </row>
    <row r="60" spans="1:14" s="1267" customFormat="1" ht="10.5" customHeight="1">
      <c r="A60" s="1288" t="s">
        <v>137</v>
      </c>
      <c r="B60" s="1291">
        <v>0</v>
      </c>
      <c r="C60" s="1289"/>
      <c r="D60" s="1291">
        <v>0</v>
      </c>
      <c r="E60" s="1291">
        <v>0</v>
      </c>
      <c r="F60" s="1291"/>
      <c r="G60" s="1292">
        <v>0</v>
      </c>
      <c r="H60" s="1266"/>
      <c r="I60" s="1276"/>
      <c r="J60" s="1276"/>
      <c r="K60" s="1276"/>
      <c r="L60" s="1276"/>
      <c r="M60" s="1276"/>
      <c r="N60" s="1276"/>
    </row>
    <row r="61" spans="1:14" s="1267" customFormat="1" ht="10.5" customHeight="1">
      <c r="A61" s="1277" t="s">
        <v>138</v>
      </c>
      <c r="B61" s="1291">
        <v>0</v>
      </c>
      <c r="C61" s="1289"/>
      <c r="D61" s="1291">
        <v>0</v>
      </c>
      <c r="E61" s="1291">
        <v>0</v>
      </c>
      <c r="F61" s="1291"/>
      <c r="G61" s="1292">
        <v>0</v>
      </c>
      <c r="H61" s="1266"/>
      <c r="I61" s="1276"/>
      <c r="J61" s="1276"/>
      <c r="K61" s="1276"/>
      <c r="L61" s="1276"/>
      <c r="M61" s="1276"/>
      <c r="N61" s="1276"/>
    </row>
    <row r="62" spans="1:14" s="1267" customFormat="1" ht="20.25" customHeight="1">
      <c r="A62" s="1283" t="s">
        <v>139</v>
      </c>
      <c r="B62" s="1293">
        <v>0</v>
      </c>
      <c r="C62" s="1278"/>
      <c r="D62" s="1293">
        <v>0</v>
      </c>
      <c r="E62" s="1293">
        <v>0</v>
      </c>
      <c r="F62" s="1293"/>
      <c r="G62" s="1294">
        <v>0</v>
      </c>
      <c r="H62" s="1266"/>
      <c r="I62" s="1276"/>
      <c r="J62" s="1276"/>
      <c r="K62" s="1276"/>
      <c r="L62" s="1276"/>
      <c r="M62" s="1276"/>
      <c r="N62" s="1276"/>
    </row>
    <row r="63" spans="1:14" s="1267" customFormat="1" ht="24" customHeight="1">
      <c r="A63" s="1712" t="s">
        <v>140</v>
      </c>
      <c r="B63" s="1713">
        <v>0</v>
      </c>
      <c r="C63" s="1713"/>
      <c r="D63" s="1713">
        <v>0</v>
      </c>
      <c r="E63" s="1713">
        <v>0</v>
      </c>
      <c r="F63" s="1713"/>
      <c r="G63" s="1714">
        <v>0</v>
      </c>
      <c r="H63" s="1266"/>
      <c r="I63" s="1276"/>
      <c r="J63" s="1276"/>
      <c r="K63" s="1276"/>
      <c r="L63" s="1276"/>
      <c r="M63" s="1276"/>
      <c r="N63" s="1276"/>
    </row>
    <row r="64" spans="1:14" s="1267" customFormat="1" ht="10.5" customHeight="1">
      <c r="A64" s="1715" t="s">
        <v>141</v>
      </c>
      <c r="B64" s="1716">
        <f>SUM(B65:B68)</f>
        <v>1113135</v>
      </c>
      <c r="C64" s="1716">
        <f>SUM(C65:C68)</f>
        <v>0</v>
      </c>
      <c r="D64" s="1716">
        <f>SUM(B64:C64)</f>
        <v>1113135</v>
      </c>
      <c r="E64" s="1716">
        <f>SUM(E65:E68)</f>
        <v>1145573</v>
      </c>
      <c r="F64" s="1716">
        <f>SUM(F65:F68)</f>
        <v>0</v>
      </c>
      <c r="G64" s="1717">
        <f>SUM(G65:G68)</f>
        <v>1145573</v>
      </c>
      <c r="H64" s="1266"/>
      <c r="I64" s="1276"/>
      <c r="J64" s="1276"/>
      <c r="K64" s="1276"/>
      <c r="L64" s="1276"/>
      <c r="M64" s="1276"/>
      <c r="N64" s="1276"/>
    </row>
    <row r="65" spans="1:14" s="1267" customFormat="1" ht="10.5" customHeight="1">
      <c r="A65" s="1277" t="s">
        <v>142</v>
      </c>
      <c r="B65" s="1278">
        <v>0</v>
      </c>
      <c r="C65" s="1278">
        <v>0</v>
      </c>
      <c r="D65" s="1278">
        <f>SUM(B65:C65)</f>
        <v>0</v>
      </c>
      <c r="E65" s="1278">
        <v>0</v>
      </c>
      <c r="F65" s="1278"/>
      <c r="G65" s="1279">
        <f>SUM(E65:F65)</f>
        <v>0</v>
      </c>
      <c r="H65" s="1266"/>
      <c r="I65" s="1276"/>
      <c r="J65" s="1276"/>
      <c r="K65" s="1276"/>
      <c r="L65" s="1276"/>
      <c r="M65" s="1276"/>
      <c r="N65" s="1276"/>
    </row>
    <row r="66" spans="1:14" s="1267" customFormat="1" ht="10.5" customHeight="1">
      <c r="A66" s="1277" t="s">
        <v>145</v>
      </c>
      <c r="B66" s="1278">
        <v>1112677</v>
      </c>
      <c r="C66" s="1278"/>
      <c r="D66" s="1278">
        <f>SUM(B66:C66)</f>
        <v>1112677</v>
      </c>
      <c r="E66" s="1278">
        <f>1086767+58336</f>
        <v>1145103</v>
      </c>
      <c r="F66" s="1278"/>
      <c r="G66" s="1279">
        <f>SUM(E66:F66)</f>
        <v>1145103</v>
      </c>
      <c r="H66" s="1266"/>
      <c r="I66" s="1276"/>
      <c r="J66" s="1276"/>
      <c r="K66" s="1276"/>
      <c r="L66" s="1276"/>
      <c r="M66" s="1276"/>
      <c r="N66" s="1276"/>
    </row>
    <row r="67" spans="1:14" s="1267" customFormat="1" ht="10.5" customHeight="1">
      <c r="A67" s="1277" t="s">
        <v>146</v>
      </c>
      <c r="B67" s="1278">
        <v>0</v>
      </c>
      <c r="C67" s="1278"/>
      <c r="D67" s="1278">
        <v>0</v>
      </c>
      <c r="E67" s="1278">
        <v>0</v>
      </c>
      <c r="F67" s="1278"/>
      <c r="G67" s="1279">
        <v>0</v>
      </c>
      <c r="H67" s="1266"/>
      <c r="I67" s="1276"/>
      <c r="J67" s="1276"/>
      <c r="K67" s="1276"/>
      <c r="L67" s="1276"/>
      <c r="M67" s="1276"/>
      <c r="N67" s="1276"/>
    </row>
    <row r="68" spans="1:14" s="1267" customFormat="1" ht="10.5" customHeight="1">
      <c r="A68" s="1277" t="s">
        <v>147</v>
      </c>
      <c r="B68" s="1278">
        <v>458</v>
      </c>
      <c r="C68" s="1278">
        <v>0</v>
      </c>
      <c r="D68" s="1278">
        <f>SUM(B68:C68)</f>
        <v>458</v>
      </c>
      <c r="E68" s="1278">
        <v>470</v>
      </c>
      <c r="F68" s="1278"/>
      <c r="G68" s="1279">
        <f>SUM(E68:F68)</f>
        <v>470</v>
      </c>
      <c r="H68" s="1266"/>
      <c r="I68" s="1276"/>
      <c r="J68" s="1276"/>
      <c r="K68" s="1276"/>
      <c r="L68" s="1276"/>
      <c r="M68" s="1276"/>
      <c r="N68" s="1276"/>
    </row>
    <row r="69" spans="1:14" s="1267" customFormat="1" ht="10.5" customHeight="1">
      <c r="A69" s="1288" t="s">
        <v>148</v>
      </c>
      <c r="B69" s="1274">
        <f>SUM(B70:B73)</f>
        <v>42276</v>
      </c>
      <c r="C69" s="1274">
        <f>SUM(C70:C73)</f>
        <v>0</v>
      </c>
      <c r="D69" s="1274">
        <f>SUM(B69:C69)</f>
        <v>42276</v>
      </c>
      <c r="E69" s="1274">
        <f>SUM(E70:E73)</f>
        <v>29575</v>
      </c>
      <c r="F69" s="1274">
        <f>SUM(F70:F73)</f>
        <v>0</v>
      </c>
      <c r="G69" s="1275">
        <f>SUM(G70:G73)</f>
        <v>29575</v>
      </c>
      <c r="H69" s="1266"/>
      <c r="I69" s="1276"/>
      <c r="J69" s="1276"/>
      <c r="K69" s="1276"/>
      <c r="L69" s="1276"/>
      <c r="M69" s="1276"/>
      <c r="N69" s="1276"/>
    </row>
    <row r="70" spans="1:14" s="1267" customFormat="1" ht="10.5" customHeight="1">
      <c r="A70" s="1277" t="s">
        <v>149</v>
      </c>
      <c r="B70" s="1278">
        <v>18012</v>
      </c>
      <c r="C70" s="1278"/>
      <c r="D70" s="1278">
        <f>SUM(B70:C70)</f>
        <v>18012</v>
      </c>
      <c r="E70" s="1278">
        <f>18036+149</f>
        <v>18185</v>
      </c>
      <c r="F70" s="1278"/>
      <c r="G70" s="1279">
        <f>SUM(E70:F70)</f>
        <v>18185</v>
      </c>
      <c r="H70" s="1266"/>
      <c r="I70" s="1276"/>
      <c r="J70" s="1276"/>
      <c r="K70" s="1276"/>
      <c r="L70" s="1276"/>
      <c r="M70" s="1276"/>
      <c r="N70" s="1276"/>
    </row>
    <row r="71" spans="1:14" s="1267" customFormat="1" ht="10.5" customHeight="1">
      <c r="A71" s="1277" t="s">
        <v>150</v>
      </c>
      <c r="B71" s="1278">
        <v>24264</v>
      </c>
      <c r="C71" s="1278"/>
      <c r="D71" s="1278">
        <v>24264</v>
      </c>
      <c r="E71" s="1278">
        <f>8993+2397</f>
        <v>11390</v>
      </c>
      <c r="F71" s="1278"/>
      <c r="G71" s="1279">
        <f>SUM(E71:F71)</f>
        <v>11390</v>
      </c>
      <c r="H71" s="1266"/>
      <c r="I71" s="1276"/>
      <c r="J71" s="1276"/>
      <c r="K71" s="1276"/>
      <c r="L71" s="1276"/>
      <c r="M71" s="1276"/>
      <c r="N71" s="1276"/>
    </row>
    <row r="72" spans="1:14" s="1267" customFormat="1" ht="10.5" customHeight="1">
      <c r="A72" s="1277" t="s">
        <v>151</v>
      </c>
      <c r="B72" s="1278">
        <v>0</v>
      </c>
      <c r="C72" s="1278"/>
      <c r="D72" s="1278">
        <v>0</v>
      </c>
      <c r="E72" s="1278">
        <v>0</v>
      </c>
      <c r="F72" s="1278"/>
      <c r="G72" s="1279">
        <f>E72+F72</f>
        <v>0</v>
      </c>
      <c r="H72" s="1266"/>
      <c r="I72" s="1276"/>
      <c r="J72" s="1276"/>
      <c r="K72" s="1276"/>
      <c r="L72" s="1276"/>
      <c r="M72" s="1276"/>
      <c r="N72" s="1276"/>
    </row>
    <row r="73" spans="1:14" s="1267" customFormat="1" ht="10.5" customHeight="1" thickBot="1">
      <c r="A73" s="1277" t="s">
        <v>152</v>
      </c>
      <c r="B73" s="1278">
        <v>0</v>
      </c>
      <c r="C73" s="1278"/>
      <c r="D73" s="1278">
        <v>0</v>
      </c>
      <c r="E73" s="1278">
        <v>0</v>
      </c>
      <c r="F73" s="1278"/>
      <c r="G73" s="1279">
        <v>0</v>
      </c>
      <c r="H73" s="1266"/>
      <c r="I73" s="1276"/>
      <c r="J73" s="1276"/>
      <c r="K73" s="1276"/>
      <c r="L73" s="1276"/>
      <c r="M73" s="1276"/>
      <c r="N73" s="1276"/>
    </row>
    <row r="74" spans="1:14" s="1267" customFormat="1" ht="15" customHeight="1" thickBot="1" thickTop="1">
      <c r="A74" s="1295" t="s">
        <v>315</v>
      </c>
      <c r="B74" s="1296">
        <f>B8+B38</f>
        <v>8627327</v>
      </c>
      <c r="C74" s="1296">
        <f>C8+C38</f>
        <v>0</v>
      </c>
      <c r="D74" s="1296">
        <f>SUM(B74:C74)</f>
        <v>8627327</v>
      </c>
      <c r="E74" s="1296">
        <f>E8+E38</f>
        <v>9300223</v>
      </c>
      <c r="F74" s="1296">
        <f>F8+F38</f>
        <v>0</v>
      </c>
      <c r="G74" s="1297">
        <f>G8+G38</f>
        <v>9300223</v>
      </c>
      <c r="H74" s="1298"/>
      <c r="I74" s="1299"/>
      <c r="J74" s="1299"/>
      <c r="K74" s="1299"/>
      <c r="L74" s="1299"/>
      <c r="M74" s="1299"/>
      <c r="N74" s="1299"/>
    </row>
    <row r="75" spans="1:14" s="1267" customFormat="1" ht="12" customHeight="1" thickBot="1" thickTop="1">
      <c r="A75" s="1300"/>
      <c r="B75" s="1282"/>
      <c r="D75" s="1282"/>
      <c r="E75" s="1282"/>
      <c r="F75" s="1282"/>
      <c r="G75" s="1264" t="s">
        <v>301</v>
      </c>
      <c r="H75" s="1298"/>
      <c r="I75" s="1299"/>
      <c r="J75" s="1299"/>
      <c r="K75" s="1299"/>
      <c r="L75" s="1299"/>
      <c r="M75" s="1299"/>
      <c r="N75" s="1299"/>
    </row>
    <row r="76" spans="1:14" s="1267" customFormat="1" ht="9.75" customHeight="1">
      <c r="A76" s="2256" t="s">
        <v>176</v>
      </c>
      <c r="B76" s="2246" t="s">
        <v>1003</v>
      </c>
      <c r="C76" s="2246" t="s">
        <v>1004</v>
      </c>
      <c r="D76" s="2246" t="s">
        <v>1021</v>
      </c>
      <c r="E76" s="2246" t="s">
        <v>1006</v>
      </c>
      <c r="F76" s="2246" t="s">
        <v>1007</v>
      </c>
      <c r="G76" s="2249" t="s">
        <v>1022</v>
      </c>
      <c r="H76" s="1265"/>
      <c r="I76" s="1266"/>
      <c r="J76" s="1266"/>
      <c r="K76" s="1266"/>
      <c r="L76" s="1266"/>
      <c r="M76" s="1266"/>
      <c r="N76" s="1266"/>
    </row>
    <row r="77" spans="1:14" s="1267" customFormat="1" ht="9.75" customHeight="1">
      <c r="A77" s="2257"/>
      <c r="B77" s="2247"/>
      <c r="C77" s="2247"/>
      <c r="D77" s="2247"/>
      <c r="E77" s="2247"/>
      <c r="F77" s="2247"/>
      <c r="G77" s="2250"/>
      <c r="H77" s="1268"/>
      <c r="I77" s="1266"/>
      <c r="J77" s="1266"/>
      <c r="K77" s="1266"/>
      <c r="L77" s="1266"/>
      <c r="M77" s="1266"/>
      <c r="N77" s="1266"/>
    </row>
    <row r="78" spans="1:14" s="1267" customFormat="1" ht="9.75" customHeight="1">
      <c r="A78" s="2257"/>
      <c r="B78" s="2247"/>
      <c r="C78" s="2247"/>
      <c r="D78" s="2247"/>
      <c r="E78" s="2247"/>
      <c r="F78" s="2247"/>
      <c r="G78" s="2250"/>
      <c r="H78" s="1268"/>
      <c r="I78" s="1266"/>
      <c r="J78" s="1266"/>
      <c r="K78" s="1266"/>
      <c r="L78" s="1266"/>
      <c r="M78" s="1266"/>
      <c r="N78" s="1266"/>
    </row>
    <row r="79" spans="1:14" s="1267" customFormat="1" ht="10.5" customHeight="1" thickBot="1">
      <c r="A79" s="2258"/>
      <c r="B79" s="2248"/>
      <c r="C79" s="2248"/>
      <c r="D79" s="2248"/>
      <c r="E79" s="2248"/>
      <c r="F79" s="2248"/>
      <c r="G79" s="2251"/>
      <c r="H79" s="1265"/>
      <c r="I79" s="1266"/>
      <c r="J79" s="1266"/>
      <c r="K79" s="1266"/>
      <c r="L79" s="1266"/>
      <c r="M79" s="1266"/>
      <c r="N79" s="1266"/>
    </row>
    <row r="80" spans="1:13" s="1267" customFormat="1" ht="7.5" customHeight="1">
      <c r="A80" s="1287"/>
      <c r="B80" s="1301"/>
      <c r="C80" s="1301"/>
      <c r="D80" s="1301"/>
      <c r="E80" s="1301"/>
      <c r="F80" s="1301"/>
      <c r="G80" s="1302"/>
      <c r="M80" s="1265"/>
    </row>
    <row r="81" spans="1:13" s="1267" customFormat="1" ht="10.5" customHeight="1">
      <c r="A81" s="1284" t="s">
        <v>153</v>
      </c>
      <c r="B81" s="1303">
        <f>B83+B90</f>
        <v>7914669</v>
      </c>
      <c r="C81" s="1304">
        <f>C83+C90</f>
        <v>0</v>
      </c>
      <c r="D81" s="1304">
        <f>SUM(B81:C81)</f>
        <v>7914669</v>
      </c>
      <c r="E81" s="1304">
        <f>E83+E90</f>
        <v>8023096</v>
      </c>
      <c r="F81" s="1304">
        <f>F83+F90</f>
        <v>0</v>
      </c>
      <c r="G81" s="1305">
        <f>G83+G90</f>
        <v>8023096</v>
      </c>
      <c r="M81" s="1265"/>
    </row>
    <row r="82" spans="1:13" s="1267" customFormat="1" ht="10.5" customHeight="1">
      <c r="A82" s="1284"/>
      <c r="B82" s="1304"/>
      <c r="C82" s="1304"/>
      <c r="D82" s="1304"/>
      <c r="E82" s="1304"/>
      <c r="F82" s="1304"/>
      <c r="G82" s="1305"/>
      <c r="M82" s="1265"/>
    </row>
    <row r="83" spans="1:14" s="1267" customFormat="1" ht="11.25">
      <c r="A83" s="1273" t="s">
        <v>154</v>
      </c>
      <c r="B83" s="1538">
        <f>SUM(B84:B87)</f>
        <v>3439850</v>
      </c>
      <c r="C83" s="1538">
        <f>SUM(C84:C89)</f>
        <v>0</v>
      </c>
      <c r="D83" s="1538">
        <f aca="true" t="shared" si="2" ref="D83:D98">SUM(B83:C83)</f>
        <v>3439850</v>
      </c>
      <c r="E83" s="1538">
        <f>SUM(E84:E87)</f>
        <v>3452345</v>
      </c>
      <c r="F83" s="1538">
        <f>SUM(F84:F89)</f>
        <v>0</v>
      </c>
      <c r="G83" s="1539">
        <f aca="true" t="shared" si="3" ref="G83:G89">SUM(E83:F83)</f>
        <v>3452345</v>
      </c>
      <c r="H83" s="1266"/>
      <c r="I83" s="1276"/>
      <c r="J83" s="1276"/>
      <c r="K83" s="1276"/>
      <c r="L83" s="1276"/>
      <c r="M83" s="1276"/>
      <c r="N83" s="1276"/>
    </row>
    <row r="84" spans="1:14" s="1267" customFormat="1" ht="11.25">
      <c r="A84" s="1277" t="s">
        <v>155</v>
      </c>
      <c r="B84" s="1306">
        <v>2407738</v>
      </c>
      <c r="C84" s="1278">
        <v>0</v>
      </c>
      <c r="D84" s="1278">
        <f t="shared" si="2"/>
        <v>2407738</v>
      </c>
      <c r="E84" s="1306">
        <v>2407775</v>
      </c>
      <c r="F84" s="1278">
        <v>0</v>
      </c>
      <c r="G84" s="1279">
        <f t="shared" si="3"/>
        <v>2407775</v>
      </c>
      <c r="H84" s="1266"/>
      <c r="I84" s="1276"/>
      <c r="J84" s="1276"/>
      <c r="K84" s="1276"/>
      <c r="L84" s="1276"/>
      <c r="M84" s="1276"/>
      <c r="N84" s="1276"/>
    </row>
    <row r="85" spans="1:14" s="1267" customFormat="1" ht="11.25" customHeight="1">
      <c r="A85" s="1277" t="s">
        <v>156</v>
      </c>
      <c r="B85" s="1278">
        <v>410728</v>
      </c>
      <c r="C85" s="1278">
        <v>0</v>
      </c>
      <c r="D85" s="1278">
        <f t="shared" si="2"/>
        <v>410728</v>
      </c>
      <c r="E85" s="1278">
        <v>410728</v>
      </c>
      <c r="F85" s="1278">
        <v>0</v>
      </c>
      <c r="G85" s="1279">
        <f t="shared" si="3"/>
        <v>410728</v>
      </c>
      <c r="H85" s="1266"/>
      <c r="I85" s="1276"/>
      <c r="J85" s="1276"/>
      <c r="K85" s="1276"/>
      <c r="L85" s="1276"/>
      <c r="M85" s="1276"/>
      <c r="N85" s="1276"/>
    </row>
    <row r="86" spans="1:7" s="1267" customFormat="1" ht="15.75" customHeight="1">
      <c r="A86" s="1277" t="s">
        <v>157</v>
      </c>
      <c r="B86" s="1307">
        <v>278863</v>
      </c>
      <c r="C86" s="1307">
        <v>0</v>
      </c>
      <c r="D86" s="1278">
        <f t="shared" si="2"/>
        <v>278863</v>
      </c>
      <c r="E86" s="1307">
        <v>278863</v>
      </c>
      <c r="F86" s="1307">
        <v>0</v>
      </c>
      <c r="G86" s="1279">
        <f t="shared" si="3"/>
        <v>278863</v>
      </c>
    </row>
    <row r="87" spans="1:7" s="1267" customFormat="1" ht="12.75" customHeight="1">
      <c r="A87" s="1277" t="s">
        <v>158</v>
      </c>
      <c r="B87" s="1307">
        <v>342521</v>
      </c>
      <c r="C87" s="1307">
        <v>0</v>
      </c>
      <c r="D87" s="1278">
        <f t="shared" si="2"/>
        <v>342521</v>
      </c>
      <c r="E87" s="1307">
        <v>354979</v>
      </c>
      <c r="F87" s="1307">
        <v>0</v>
      </c>
      <c r="G87" s="1279">
        <f t="shared" si="3"/>
        <v>354979</v>
      </c>
    </row>
    <row r="88" spans="1:7" s="1267" customFormat="1" ht="11.25" customHeight="1">
      <c r="A88" s="1277" t="s">
        <v>159</v>
      </c>
      <c r="B88" s="1307">
        <v>0</v>
      </c>
      <c r="C88" s="1308">
        <v>0</v>
      </c>
      <c r="D88" s="1278">
        <f t="shared" si="2"/>
        <v>0</v>
      </c>
      <c r="E88" s="1307"/>
      <c r="F88" s="1308">
        <v>0</v>
      </c>
      <c r="G88" s="1279">
        <f t="shared" si="3"/>
        <v>0</v>
      </c>
    </row>
    <row r="89" spans="1:14" s="1267" customFormat="1" ht="10.5" customHeight="1">
      <c r="A89" s="1277" t="s">
        <v>160</v>
      </c>
      <c r="B89" s="1278">
        <v>0</v>
      </c>
      <c r="C89" s="1278">
        <v>0</v>
      </c>
      <c r="D89" s="1278">
        <f t="shared" si="2"/>
        <v>0</v>
      </c>
      <c r="E89" s="1278">
        <v>0</v>
      </c>
      <c r="F89" s="1278">
        <v>0</v>
      </c>
      <c r="G89" s="1279">
        <f t="shared" si="3"/>
        <v>0</v>
      </c>
      <c r="H89" s="1266"/>
      <c r="I89" s="1276"/>
      <c r="J89" s="1276"/>
      <c r="K89" s="1276"/>
      <c r="L89" s="1276"/>
      <c r="M89" s="1276"/>
      <c r="N89" s="1276"/>
    </row>
    <row r="90" spans="1:14" s="1267" customFormat="1" ht="19.5" customHeight="1">
      <c r="A90" s="1273" t="s">
        <v>177</v>
      </c>
      <c r="B90" s="1538">
        <f>SUM(B91:B97)</f>
        <v>4474819</v>
      </c>
      <c r="C90" s="1538">
        <f>SUM(C91:C97)</f>
        <v>0</v>
      </c>
      <c r="D90" s="1538">
        <f t="shared" si="2"/>
        <v>4474819</v>
      </c>
      <c r="E90" s="1538">
        <f>SUM(E91:E97)</f>
        <v>4570751</v>
      </c>
      <c r="F90" s="1538">
        <f>SUM(F91:F97)</f>
        <v>0</v>
      </c>
      <c r="G90" s="1539">
        <f>SUM(G91:G97)</f>
        <v>4570751</v>
      </c>
      <c r="H90" s="1266"/>
      <c r="I90" s="1276"/>
      <c r="J90" s="1276"/>
      <c r="K90" s="1276"/>
      <c r="L90" s="1276"/>
      <c r="M90" s="1276"/>
      <c r="N90" s="1276"/>
    </row>
    <row r="91" spans="1:14" s="1267" customFormat="1" ht="14.25" customHeight="1">
      <c r="A91" s="1277" t="s">
        <v>161</v>
      </c>
      <c r="B91" s="1278">
        <v>2421192</v>
      </c>
      <c r="C91" s="1278">
        <v>0</v>
      </c>
      <c r="D91" s="1278">
        <f t="shared" si="2"/>
        <v>2421192</v>
      </c>
      <c r="E91" s="1278">
        <v>2437483</v>
      </c>
      <c r="F91" s="1278">
        <v>0</v>
      </c>
      <c r="G91" s="1279">
        <f aca="true" t="shared" si="4" ref="G91:G97">SUM(E91:F91)</f>
        <v>2437483</v>
      </c>
      <c r="H91" s="1266"/>
      <c r="I91" s="1276"/>
      <c r="J91" s="1276"/>
      <c r="K91" s="1276"/>
      <c r="L91" s="1276"/>
      <c r="M91" s="1276"/>
      <c r="N91" s="1276"/>
    </row>
    <row r="92" spans="1:14" s="1267" customFormat="1" ht="11.25" customHeight="1">
      <c r="A92" s="1277" t="s">
        <v>162</v>
      </c>
      <c r="B92" s="1278">
        <v>56782</v>
      </c>
      <c r="C92" s="1278">
        <v>0</v>
      </c>
      <c r="D92" s="1278">
        <f t="shared" si="2"/>
        <v>56782</v>
      </c>
      <c r="E92" s="1278">
        <v>56782</v>
      </c>
      <c r="F92" s="1278">
        <v>0</v>
      </c>
      <c r="G92" s="1279">
        <f t="shared" si="4"/>
        <v>56782</v>
      </c>
      <c r="H92" s="1266"/>
      <c r="I92" s="1276"/>
      <c r="J92" s="1276"/>
      <c r="K92" s="1276"/>
      <c r="L92" s="1276"/>
      <c r="M92" s="1276"/>
      <c r="N92" s="1276"/>
    </row>
    <row r="93" spans="1:7" s="1267" customFormat="1" ht="11.25" customHeight="1">
      <c r="A93" s="1277" t="s">
        <v>163</v>
      </c>
      <c r="B93" s="1307">
        <v>242274</v>
      </c>
      <c r="C93" s="1307">
        <v>0</v>
      </c>
      <c r="D93" s="1307">
        <f t="shared" si="2"/>
        <v>242274</v>
      </c>
      <c r="E93" s="1307">
        <v>242274</v>
      </c>
      <c r="F93" s="1307">
        <v>0</v>
      </c>
      <c r="G93" s="1309">
        <f t="shared" si="4"/>
        <v>242274</v>
      </c>
    </row>
    <row r="94" spans="1:7" s="1267" customFormat="1" ht="10.5" customHeight="1">
      <c r="A94" s="1277" t="s">
        <v>164</v>
      </c>
      <c r="B94" s="1307">
        <v>11864</v>
      </c>
      <c r="C94" s="1307">
        <v>0</v>
      </c>
      <c r="D94" s="1307">
        <f t="shared" si="2"/>
        <v>11864</v>
      </c>
      <c r="E94" s="1307">
        <v>11864</v>
      </c>
      <c r="F94" s="1307">
        <v>0</v>
      </c>
      <c r="G94" s="1309">
        <f t="shared" si="4"/>
        <v>11864</v>
      </c>
    </row>
    <row r="95" spans="1:7" s="1267" customFormat="1" ht="19.5" customHeight="1">
      <c r="A95" s="1277" t="s">
        <v>165</v>
      </c>
      <c r="B95" s="1307">
        <v>1742707</v>
      </c>
      <c r="C95" s="1308">
        <v>0</v>
      </c>
      <c r="D95" s="1307">
        <f t="shared" si="2"/>
        <v>1742707</v>
      </c>
      <c r="E95" s="1307">
        <v>1822348</v>
      </c>
      <c r="F95" s="1308">
        <v>0</v>
      </c>
      <c r="G95" s="1279">
        <f t="shared" si="4"/>
        <v>1822348</v>
      </c>
    </row>
    <row r="96" spans="1:14" s="1267" customFormat="1" ht="19.5" customHeight="1">
      <c r="A96" s="1283" t="s">
        <v>166</v>
      </c>
      <c r="B96" s="1278">
        <v>0</v>
      </c>
      <c r="C96" s="1278">
        <v>0</v>
      </c>
      <c r="D96" s="1307">
        <f t="shared" si="2"/>
        <v>0</v>
      </c>
      <c r="E96" s="1278">
        <v>0</v>
      </c>
      <c r="F96" s="1278">
        <v>0</v>
      </c>
      <c r="G96" s="1279">
        <f t="shared" si="4"/>
        <v>0</v>
      </c>
      <c r="H96" s="1266"/>
      <c r="I96" s="1276"/>
      <c r="J96" s="1276"/>
      <c r="K96" s="1276"/>
      <c r="L96" s="1276"/>
      <c r="M96" s="1276"/>
      <c r="N96" s="1276"/>
    </row>
    <row r="97" spans="1:14" s="1267" customFormat="1" ht="19.5" customHeight="1">
      <c r="A97" s="1283" t="s">
        <v>167</v>
      </c>
      <c r="B97" s="1278">
        <v>0</v>
      </c>
      <c r="C97" s="1278">
        <v>0</v>
      </c>
      <c r="D97" s="1307">
        <f t="shared" si="2"/>
        <v>0</v>
      </c>
      <c r="E97" s="1278">
        <v>0</v>
      </c>
      <c r="F97" s="1278">
        <v>0</v>
      </c>
      <c r="G97" s="1279">
        <f t="shared" si="4"/>
        <v>0</v>
      </c>
      <c r="H97" s="1266"/>
      <c r="I97" s="1276"/>
      <c r="J97" s="1276"/>
      <c r="K97" s="1276"/>
      <c r="L97" s="1276"/>
      <c r="M97" s="1276"/>
      <c r="N97" s="1276"/>
    </row>
    <row r="98" spans="1:7" s="1267" customFormat="1" ht="21">
      <c r="A98" s="1310" t="s">
        <v>168</v>
      </c>
      <c r="B98" s="1311">
        <f>SUM(B100:B101)</f>
        <v>523505</v>
      </c>
      <c r="C98" s="1311">
        <f>SUM(C100:C101)</f>
        <v>0</v>
      </c>
      <c r="D98" s="1311">
        <f t="shared" si="2"/>
        <v>523505</v>
      </c>
      <c r="E98" s="1311">
        <f>SUM(E100:E101)</f>
        <v>559732</v>
      </c>
      <c r="F98" s="1311">
        <f>SUM(F100:F101)</f>
        <v>0</v>
      </c>
      <c r="G98" s="1312">
        <f>SUM(G100:G101)</f>
        <v>559732</v>
      </c>
    </row>
    <row r="99" spans="1:7" s="1267" customFormat="1" ht="10.5" customHeight="1">
      <c r="A99" s="1288"/>
      <c r="B99" s="1307"/>
      <c r="C99" s="1307"/>
      <c r="D99" s="1307"/>
      <c r="E99" s="1307"/>
      <c r="F99" s="1307"/>
      <c r="G99" s="1309"/>
    </row>
    <row r="100" spans="1:7" s="1267" customFormat="1" ht="22.5">
      <c r="A100" s="1288" t="s">
        <v>169</v>
      </c>
      <c r="B100" s="1307">
        <v>523505</v>
      </c>
      <c r="C100" s="1307"/>
      <c r="D100" s="1307">
        <f>SUM(B100:C100)</f>
        <v>523505</v>
      </c>
      <c r="E100" s="1307">
        <v>559732</v>
      </c>
      <c r="F100" s="1307">
        <v>0</v>
      </c>
      <c r="G100" s="1279">
        <f>SUM(E100:F100)</f>
        <v>559732</v>
      </c>
    </row>
    <row r="101" spans="1:14" s="1267" customFormat="1" ht="23.25" thickBot="1">
      <c r="A101" s="1288" t="s">
        <v>170</v>
      </c>
      <c r="B101" s="1278"/>
      <c r="C101" s="1278"/>
      <c r="D101" s="1278"/>
      <c r="E101" s="1278"/>
      <c r="F101" s="1278"/>
      <c r="G101" s="1279"/>
      <c r="H101" s="1266"/>
      <c r="I101" s="1276"/>
      <c r="J101" s="1276"/>
      <c r="K101" s="1276"/>
      <c r="L101" s="1276"/>
      <c r="M101" s="1276"/>
      <c r="N101" s="1276"/>
    </row>
    <row r="102" spans="1:14" s="1267" customFormat="1" ht="15" customHeight="1" thickBot="1" thickTop="1">
      <c r="A102" s="1295" t="s">
        <v>315</v>
      </c>
      <c r="B102" s="1296">
        <f>B81+B98</f>
        <v>8438174</v>
      </c>
      <c r="C102" s="1313">
        <f>C81+C98</f>
        <v>0</v>
      </c>
      <c r="D102" s="1313">
        <f>SUM(B102:C102)</f>
        <v>8438174</v>
      </c>
      <c r="E102" s="1313">
        <f>E81+E98</f>
        <v>8582828</v>
      </c>
      <c r="F102" s="1313">
        <f>F81+F98</f>
        <v>0</v>
      </c>
      <c r="G102" s="1314">
        <f>G81+G98</f>
        <v>8582828</v>
      </c>
      <c r="H102" s="1298"/>
      <c r="I102" s="1299"/>
      <c r="J102" s="1299"/>
      <c r="K102" s="1299"/>
      <c r="L102" s="1299"/>
      <c r="M102" s="1299"/>
      <c r="N102" s="1299"/>
    </row>
    <row r="103" spans="1:2" ht="12" thickTop="1">
      <c r="A103" s="2237" t="s">
        <v>171</v>
      </c>
      <c r="B103" s="2237"/>
    </row>
    <row r="104" spans="1:7" ht="12" thickBot="1">
      <c r="A104" s="1315"/>
      <c r="G104" s="1264" t="s">
        <v>301</v>
      </c>
    </row>
    <row r="105" spans="1:14" s="1267" customFormat="1" ht="9.75" customHeight="1">
      <c r="A105" s="2256" t="s">
        <v>172</v>
      </c>
      <c r="B105" s="2246" t="s">
        <v>1003</v>
      </c>
      <c r="C105" s="2246" t="s">
        <v>1004</v>
      </c>
      <c r="D105" s="2246" t="s">
        <v>1021</v>
      </c>
      <c r="E105" s="2246" t="s">
        <v>1006</v>
      </c>
      <c r="F105" s="2246" t="s">
        <v>1007</v>
      </c>
      <c r="G105" s="2249" t="s">
        <v>1022</v>
      </c>
      <c r="H105" s="1265"/>
      <c r="I105" s="1266"/>
      <c r="J105" s="1266"/>
      <c r="K105" s="1266"/>
      <c r="L105" s="1266"/>
      <c r="M105" s="1266"/>
      <c r="N105" s="1266"/>
    </row>
    <row r="106" spans="1:14" s="1267" customFormat="1" ht="9.75" customHeight="1">
      <c r="A106" s="2257"/>
      <c r="B106" s="2247"/>
      <c r="C106" s="2247"/>
      <c r="D106" s="2247"/>
      <c r="E106" s="2247"/>
      <c r="F106" s="2247"/>
      <c r="G106" s="2250"/>
      <c r="H106" s="1268"/>
      <c r="I106" s="1266"/>
      <c r="J106" s="1266"/>
      <c r="K106" s="1266"/>
      <c r="L106" s="1266"/>
      <c r="M106" s="1266"/>
      <c r="N106" s="1266"/>
    </row>
    <row r="107" spans="1:14" s="1267" customFormat="1" ht="9.75" customHeight="1">
      <c r="A107" s="2257"/>
      <c r="B107" s="2247"/>
      <c r="C107" s="2247"/>
      <c r="D107" s="2247"/>
      <c r="E107" s="2247"/>
      <c r="F107" s="2247"/>
      <c r="G107" s="2250"/>
      <c r="H107" s="1268"/>
      <c r="I107" s="1266"/>
      <c r="J107" s="1266"/>
      <c r="K107" s="1266"/>
      <c r="L107" s="1266"/>
      <c r="M107" s="1266"/>
      <c r="N107" s="1266"/>
    </row>
    <row r="108" spans="1:14" s="1267" customFormat="1" ht="10.5" customHeight="1" thickBot="1">
      <c r="A108" s="2258"/>
      <c r="B108" s="2248"/>
      <c r="C108" s="2248"/>
      <c r="D108" s="2248"/>
      <c r="E108" s="2248"/>
      <c r="F108" s="2248"/>
      <c r="G108" s="2251"/>
      <c r="H108" s="1265"/>
      <c r="I108" s="1266"/>
      <c r="J108" s="1266"/>
      <c r="K108" s="1266"/>
      <c r="L108" s="1266"/>
      <c r="M108" s="1266"/>
      <c r="N108" s="1266"/>
    </row>
    <row r="109" spans="1:14" s="1267" customFormat="1" ht="33.75">
      <c r="A109" s="1288" t="s">
        <v>173</v>
      </c>
      <c r="B109" s="1278">
        <v>455046</v>
      </c>
      <c r="C109" s="1278">
        <v>0</v>
      </c>
      <c r="D109" s="1278">
        <f>SUM(B109:C109)</f>
        <v>455046</v>
      </c>
      <c r="E109" s="1278">
        <v>417020</v>
      </c>
      <c r="F109" s="1278">
        <v>0</v>
      </c>
      <c r="G109" s="1275">
        <f>SUM(E109:F109)</f>
        <v>417020</v>
      </c>
      <c r="H109" s="1266"/>
      <c r="I109" s="1276"/>
      <c r="J109" s="1276"/>
      <c r="K109" s="1276"/>
      <c r="L109" s="1276"/>
      <c r="M109" s="1276"/>
      <c r="N109" s="1276"/>
    </row>
    <row r="110" spans="1:14" s="1267" customFormat="1" ht="66">
      <c r="A110" s="1288" t="s">
        <v>178</v>
      </c>
      <c r="B110" s="1278">
        <v>0</v>
      </c>
      <c r="C110" s="1278">
        <v>0</v>
      </c>
      <c r="D110" s="1278">
        <f>SUM(B110:C110)</f>
        <v>0</v>
      </c>
      <c r="E110" s="1278">
        <v>0</v>
      </c>
      <c r="F110" s="1278">
        <v>0</v>
      </c>
      <c r="G110" s="1275">
        <f>SUM(E110:F110)</f>
        <v>0</v>
      </c>
      <c r="H110" s="1266"/>
      <c r="I110" s="1276"/>
      <c r="J110" s="1276"/>
      <c r="K110" s="1276"/>
      <c r="L110" s="1276"/>
      <c r="M110" s="1276"/>
      <c r="N110" s="1276"/>
    </row>
    <row r="111" spans="1:14" s="1267" customFormat="1" ht="45">
      <c r="A111" s="1288" t="s">
        <v>174</v>
      </c>
      <c r="B111" s="1278">
        <v>0</v>
      </c>
      <c r="C111" s="1278">
        <v>0</v>
      </c>
      <c r="D111" s="1278">
        <f>SUM(B111:C111)</f>
        <v>0</v>
      </c>
      <c r="E111" s="1278">
        <v>0</v>
      </c>
      <c r="F111" s="1278">
        <v>0</v>
      </c>
      <c r="G111" s="1275">
        <f>SUM(E111:F111)</f>
        <v>0</v>
      </c>
      <c r="H111" s="1266"/>
      <c r="I111" s="1276"/>
      <c r="J111" s="1276"/>
      <c r="K111" s="1276"/>
      <c r="L111" s="1276"/>
      <c r="M111" s="1276"/>
      <c r="N111" s="1276"/>
    </row>
    <row r="112" spans="1:14" s="1267" customFormat="1" ht="12" thickBot="1">
      <c r="A112" s="1316"/>
      <c r="B112" s="1317"/>
      <c r="C112" s="1317"/>
      <c r="D112" s="1317"/>
      <c r="E112" s="1317"/>
      <c r="F112" s="1317"/>
      <c r="G112" s="1318"/>
      <c r="H112" s="1266"/>
      <c r="I112" s="1276"/>
      <c r="J112" s="1276"/>
      <c r="K112" s="1276"/>
      <c r="L112" s="1276"/>
      <c r="M112" s="1276"/>
      <c r="N112" s="1276"/>
    </row>
    <row r="113" spans="1:14" s="1267" customFormat="1" ht="11.25">
      <c r="A113" s="1319"/>
      <c r="B113" s="1276"/>
      <c r="C113" s="1276"/>
      <c r="D113" s="1276"/>
      <c r="E113" s="1276"/>
      <c r="F113" s="1276"/>
      <c r="G113" s="1320"/>
      <c r="H113" s="1266"/>
      <c r="I113" s="1276"/>
      <c r="J113" s="1276"/>
      <c r="K113" s="1276"/>
      <c r="L113" s="1276"/>
      <c r="M113" s="1276"/>
      <c r="N113" s="1276"/>
    </row>
    <row r="114" spans="1:7" ht="11.25">
      <c r="A114" s="2238" t="s">
        <v>1044</v>
      </c>
      <c r="B114" s="2238"/>
      <c r="C114" s="2238"/>
      <c r="D114" s="2238"/>
      <c r="E114" s="2238"/>
      <c r="F114" s="2238"/>
      <c r="G114" s="2238"/>
    </row>
    <row r="115" spans="1:7" ht="11.25">
      <c r="A115" s="2239" t="s">
        <v>1045</v>
      </c>
      <c r="B115" s="2239"/>
      <c r="C115" s="2239"/>
      <c r="D115" s="2239"/>
      <c r="E115" s="2239"/>
      <c r="F115" s="2239"/>
      <c r="G115" s="2239"/>
    </row>
    <row r="116" ht="11.25">
      <c r="A116" s="1315"/>
    </row>
    <row r="117" ht="11.25">
      <c r="A117" s="1315"/>
    </row>
    <row r="118" ht="11.25">
      <c r="A118" s="1315"/>
    </row>
    <row r="119" ht="11.25">
      <c r="A119" s="1315"/>
    </row>
  </sheetData>
  <sheetProtection/>
  <mergeCells count="25">
    <mergeCell ref="E105:E108"/>
    <mergeCell ref="F105:F108"/>
    <mergeCell ref="G105:G108"/>
    <mergeCell ref="A105:A108"/>
    <mergeCell ref="B105:B108"/>
    <mergeCell ref="C105:C108"/>
    <mergeCell ref="D105:D108"/>
    <mergeCell ref="G76:G79"/>
    <mergeCell ref="B2:G2"/>
    <mergeCell ref="A4:A7"/>
    <mergeCell ref="B4:B7"/>
    <mergeCell ref="C4:C7"/>
    <mergeCell ref="D4:D7"/>
    <mergeCell ref="E4:E7"/>
    <mergeCell ref="A76:A79"/>
    <mergeCell ref="A103:B103"/>
    <mergeCell ref="A114:G114"/>
    <mergeCell ref="A115:G115"/>
    <mergeCell ref="F4:F7"/>
    <mergeCell ref="G4:G7"/>
    <mergeCell ref="B76:B79"/>
    <mergeCell ref="C76:C79"/>
    <mergeCell ref="D76:D79"/>
    <mergeCell ref="E76:E79"/>
    <mergeCell ref="F76:F7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rowBreaks count="1" manualBreakCount="1">
    <brk id="63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85" zoomScalePageLayoutView="0" workbookViewId="0" topLeftCell="A1">
      <selection activeCell="E23" sqref="E23"/>
    </sheetView>
  </sheetViews>
  <sheetFormatPr defaultColWidth="9.00390625" defaultRowHeight="12.75"/>
  <cols>
    <col min="1" max="1" width="5.75390625" style="100" bestFit="1" customWidth="1"/>
    <col min="2" max="2" width="27.625" style="100" customWidth="1"/>
    <col min="3" max="3" width="14.875" style="100" customWidth="1"/>
    <col min="4" max="4" width="16.00390625" style="100" customWidth="1"/>
    <col min="5" max="5" width="27.375" style="100" customWidth="1"/>
    <col min="6" max="6" width="12.125" style="100" customWidth="1"/>
    <col min="7" max="7" width="11.25390625" style="100" customWidth="1"/>
    <col min="8" max="8" width="16.00390625" style="1347" customWidth="1"/>
    <col min="9" max="16384" width="9.125" style="100" customWidth="1"/>
  </cols>
  <sheetData>
    <row r="1" spans="1:8" ht="11.25">
      <c r="A1" s="1321"/>
      <c r="B1" s="1321"/>
      <c r="C1" s="1321"/>
      <c r="D1" s="1321"/>
      <c r="E1" s="1321"/>
      <c r="F1" s="1323"/>
      <c r="G1" s="1324"/>
      <c r="H1" s="1325"/>
    </row>
    <row r="2" spans="1:8" ht="11.25">
      <c r="A2" s="1321"/>
      <c r="B2" s="1321"/>
      <c r="C2" s="1321"/>
      <c r="D2" s="1321"/>
      <c r="E2" s="1321"/>
      <c r="F2" s="1323"/>
      <c r="G2" s="1324"/>
      <c r="H2" s="1326"/>
    </row>
    <row r="3" spans="1:8" ht="11.25">
      <c r="A3" s="1321"/>
      <c r="B3" s="1321"/>
      <c r="C3" s="1321"/>
      <c r="D3" s="1321"/>
      <c r="E3" s="1321"/>
      <c r="F3" s="1321" t="s">
        <v>446</v>
      </c>
      <c r="G3" s="1321"/>
      <c r="H3" s="1321"/>
    </row>
    <row r="4" spans="1:8" ht="11.25">
      <c r="A4" s="1321"/>
      <c r="B4" s="1321"/>
      <c r="C4" s="1321"/>
      <c r="D4" s="1321"/>
      <c r="E4" s="1321"/>
      <c r="F4" s="1321"/>
      <c r="G4" s="1321"/>
      <c r="H4" s="1321"/>
    </row>
    <row r="5" spans="1:8" ht="11.25">
      <c r="A5" s="1321"/>
      <c r="B5" s="1321"/>
      <c r="C5" s="1321"/>
      <c r="D5" s="1321"/>
      <c r="E5" s="1321"/>
      <c r="F5" s="1323"/>
      <c r="G5" s="1324"/>
      <c r="H5" s="1326"/>
    </row>
    <row r="6" spans="1:8" ht="11.25">
      <c r="A6" s="1321"/>
      <c r="B6" s="1321"/>
      <c r="C6" s="1321"/>
      <c r="D6" s="1321"/>
      <c r="E6" s="1321"/>
      <c r="F6" s="1323"/>
      <c r="G6" s="1324"/>
      <c r="H6" s="1326"/>
    </row>
    <row r="7" spans="1:8" ht="11.25">
      <c r="A7" s="1321"/>
      <c r="B7" s="1321"/>
      <c r="C7" s="1321"/>
      <c r="D7" s="1321"/>
      <c r="E7" s="1321"/>
      <c r="F7" s="1323"/>
      <c r="G7" s="1324"/>
      <c r="H7" s="1326"/>
    </row>
    <row r="8" spans="1:8" ht="11.25">
      <c r="A8" s="1321"/>
      <c r="B8" s="1321"/>
      <c r="C8" s="1321"/>
      <c r="D8" s="1321"/>
      <c r="E8" s="1321"/>
      <c r="F8" s="1323"/>
      <c r="G8" s="1324"/>
      <c r="H8" s="1326"/>
    </row>
    <row r="9" spans="1:8" ht="11.25">
      <c r="A9" s="1321"/>
      <c r="B9" s="1321"/>
      <c r="C9" s="1321"/>
      <c r="D9" s="1321"/>
      <c r="E9" s="1321"/>
      <c r="F9" s="1323"/>
      <c r="G9" s="1324"/>
      <c r="H9" s="1327"/>
    </row>
    <row r="10" spans="1:8" ht="12" thickBot="1">
      <c r="A10" s="1321"/>
      <c r="B10" s="1321"/>
      <c r="C10" s="1321"/>
      <c r="D10" s="1321"/>
      <c r="E10" s="1321"/>
      <c r="F10" s="1323"/>
      <c r="G10" s="1324"/>
      <c r="H10" s="1327" t="s">
        <v>836</v>
      </c>
    </row>
    <row r="11" spans="1:8" ht="51">
      <c r="A11" s="1328"/>
      <c r="B11" s="1329" t="s">
        <v>179</v>
      </c>
      <c r="C11" s="1330" t="s">
        <v>180</v>
      </c>
      <c r="D11" s="1330" t="s">
        <v>181</v>
      </c>
      <c r="E11" s="1331" t="s">
        <v>182</v>
      </c>
      <c r="F11" s="1331" t="s">
        <v>183</v>
      </c>
      <c r="G11" s="1331" t="s">
        <v>184</v>
      </c>
      <c r="H11" s="1331" t="s">
        <v>185</v>
      </c>
    </row>
    <row r="12" spans="1:8" ht="18" customHeight="1">
      <c r="A12" s="1332" t="s">
        <v>316</v>
      </c>
      <c r="B12" s="1333"/>
      <c r="C12" s="1334"/>
      <c r="D12" s="1335"/>
      <c r="E12" s="1335"/>
      <c r="F12" s="1336"/>
      <c r="G12" s="1336"/>
      <c r="H12" s="1336"/>
    </row>
    <row r="13" spans="1:8" ht="18" customHeight="1">
      <c r="A13" s="1332" t="s">
        <v>318</v>
      </c>
      <c r="B13" s="1333"/>
      <c r="C13" s="1334"/>
      <c r="D13" s="1335"/>
      <c r="E13" s="1335"/>
      <c r="F13" s="1336"/>
      <c r="G13" s="1336"/>
      <c r="H13" s="1336"/>
    </row>
    <row r="14" spans="1:8" ht="18" customHeight="1">
      <c r="A14" s="1332" t="s">
        <v>319</v>
      </c>
      <c r="B14" s="1333"/>
      <c r="C14" s="1334"/>
      <c r="D14" s="1335"/>
      <c r="E14" s="1335"/>
      <c r="F14" s="1336"/>
      <c r="G14" s="1336"/>
      <c r="H14" s="1336"/>
    </row>
    <row r="15" spans="1:8" ht="18" customHeight="1">
      <c r="A15" s="1332" t="s">
        <v>321</v>
      </c>
      <c r="B15" s="1333"/>
      <c r="C15" s="1334"/>
      <c r="D15" s="1335"/>
      <c r="E15" s="1335"/>
      <c r="F15" s="1336"/>
      <c r="G15" s="1336"/>
      <c r="H15" s="1336"/>
    </row>
    <row r="16" spans="1:8" ht="13.5" thickBot="1">
      <c r="A16" s="1337" t="s">
        <v>186</v>
      </c>
      <c r="B16" s="1338"/>
      <c r="C16" s="1339"/>
      <c r="D16" s="1340"/>
      <c r="E16" s="1340"/>
      <c r="F16" s="1341"/>
      <c r="G16" s="1341"/>
      <c r="H16" s="1341"/>
    </row>
    <row r="17" spans="1:8" ht="13.5" thickBot="1">
      <c r="A17" s="2259" t="s">
        <v>940</v>
      </c>
      <c r="B17" s="2260"/>
      <c r="C17" s="1342"/>
      <c r="D17" s="1343"/>
      <c r="E17" s="1344"/>
      <c r="F17" s="1345"/>
      <c r="G17" s="1345"/>
      <c r="H17" s="1346"/>
    </row>
  </sheetData>
  <sheetProtection/>
  <mergeCells count="1"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67.125" style="1459" customWidth="1"/>
    <col min="2" max="2" width="10.375" style="1459" customWidth="1"/>
    <col min="3" max="3" width="9.00390625" style="1459" customWidth="1"/>
    <col min="4" max="4" width="7.75390625" style="1459" customWidth="1"/>
    <col min="5" max="5" width="9.00390625" style="1459" customWidth="1"/>
    <col min="6" max="7" width="9.25390625" style="1459" customWidth="1"/>
    <col min="8" max="8" width="12.75390625" style="1459" customWidth="1"/>
    <col min="9" max="16384" width="9.125" style="1459" customWidth="1"/>
  </cols>
  <sheetData>
    <row r="1" spans="1:8" ht="12.75">
      <c r="A1" s="1458"/>
      <c r="B1" s="1458"/>
      <c r="C1" s="1458"/>
      <c r="D1" s="1458"/>
      <c r="E1" s="1458"/>
      <c r="F1" s="1458"/>
      <c r="G1" s="1458"/>
      <c r="H1" s="1458"/>
    </row>
    <row r="2" spans="1:8" ht="12.75" customHeight="1" thickBot="1">
      <c r="A2" s="1458"/>
      <c r="B2" s="1458"/>
      <c r="C2" s="1458"/>
      <c r="D2" s="1458"/>
      <c r="E2" s="1458"/>
      <c r="F2" s="1458"/>
      <c r="G2" s="1458" t="s">
        <v>836</v>
      </c>
      <c r="H2" s="1458"/>
    </row>
    <row r="3" spans="1:9" ht="24.75" customHeight="1" thickBot="1">
      <c r="A3" s="1776" t="s">
        <v>1047</v>
      </c>
      <c r="B3" s="1777"/>
      <c r="C3" s="1777"/>
      <c r="D3" s="1777"/>
      <c r="E3" s="1777"/>
      <c r="F3" s="1699" t="s">
        <v>269</v>
      </c>
      <c r="G3" s="1460" t="s">
        <v>989</v>
      </c>
      <c r="H3" s="1461"/>
      <c r="I3" s="1462"/>
    </row>
    <row r="4" spans="1:9" ht="13.5" thickBot="1">
      <c r="A4" s="1778" t="s">
        <v>270</v>
      </c>
      <c r="B4" s="1779"/>
      <c r="C4" s="1779"/>
      <c r="D4" s="1779"/>
      <c r="E4" s="1780"/>
      <c r="F4" s="1584">
        <v>7000</v>
      </c>
      <c r="G4" s="1585">
        <f>B35</f>
        <v>4185</v>
      </c>
      <c r="H4" s="1461"/>
      <c r="I4" s="1463"/>
    </row>
    <row r="5" spans="1:9" ht="13.5" thickBot="1">
      <c r="A5" s="1778" t="s">
        <v>420</v>
      </c>
      <c r="B5" s="1779"/>
      <c r="C5" s="1779"/>
      <c r="D5" s="1779"/>
      <c r="E5" s="1780"/>
      <c r="F5" s="1584">
        <f>F6+F7+F8+F9+F10</f>
        <v>9090</v>
      </c>
      <c r="G5" s="1586">
        <f>G6+G7+G8+G9+G10</f>
        <v>7418</v>
      </c>
      <c r="H5" s="1461"/>
      <c r="I5" s="1463"/>
    </row>
    <row r="6" spans="1:9" ht="12.75">
      <c r="A6" s="1781" t="s">
        <v>1082</v>
      </c>
      <c r="B6" s="1782"/>
      <c r="C6" s="1782"/>
      <c r="D6" s="1782"/>
      <c r="E6" s="1783"/>
      <c r="F6" s="1587">
        <v>400</v>
      </c>
      <c r="G6" s="1588">
        <v>400</v>
      </c>
      <c r="H6" s="1461"/>
      <c r="I6" s="1464"/>
    </row>
    <row r="7" spans="1:9" ht="12.75" customHeight="1">
      <c r="A7" s="1784" t="s">
        <v>1083</v>
      </c>
      <c r="B7" s="1785"/>
      <c r="C7" s="1785"/>
      <c r="D7" s="1785"/>
      <c r="E7" s="1785"/>
      <c r="F7" s="1589">
        <v>1000</v>
      </c>
      <c r="G7" s="1590">
        <f>D35</f>
        <v>620</v>
      </c>
      <c r="H7" s="1461"/>
      <c r="I7" s="1465"/>
    </row>
    <row r="8" spans="1:9" ht="12.75">
      <c r="A8" s="1786" t="s">
        <v>1084</v>
      </c>
      <c r="B8" s="1787"/>
      <c r="C8" s="1787"/>
      <c r="D8" s="1787"/>
      <c r="E8" s="1788"/>
      <c r="F8" s="1589">
        <v>1500</v>
      </c>
      <c r="G8" s="1590">
        <f>E35</f>
        <v>208</v>
      </c>
      <c r="H8" s="1461"/>
      <c r="I8" s="1465"/>
    </row>
    <row r="9" spans="1:9" ht="12.75">
      <c r="A9" s="1786" t="s">
        <v>1123</v>
      </c>
      <c r="B9" s="1787"/>
      <c r="C9" s="1787"/>
      <c r="D9" s="1787"/>
      <c r="E9" s="1788"/>
      <c r="F9" s="1589">
        <v>6190</v>
      </c>
      <c r="G9" s="1590">
        <f>F35</f>
        <v>6190</v>
      </c>
      <c r="H9" s="1461"/>
      <c r="I9" s="1465"/>
    </row>
    <row r="10" spans="1:9" ht="13.5" customHeight="1" thickBot="1">
      <c r="A10" s="1797" t="s">
        <v>1124</v>
      </c>
      <c r="B10" s="1798"/>
      <c r="C10" s="1798"/>
      <c r="D10" s="1798"/>
      <c r="E10" s="1798"/>
      <c r="F10" s="1466">
        <v>0</v>
      </c>
      <c r="G10" s="1591">
        <f>G35</f>
        <v>0</v>
      </c>
      <c r="H10" s="1467"/>
      <c r="I10" s="1465"/>
    </row>
    <row r="11" spans="1:8" ht="11.25" customHeight="1" thickBot="1">
      <c r="A11" s="1458"/>
      <c r="B11" s="1458"/>
      <c r="C11" s="1458"/>
      <c r="D11" s="1458"/>
      <c r="E11" s="1458"/>
      <c r="F11" s="1458"/>
      <c r="G11" s="1458"/>
      <c r="H11" s="1468"/>
    </row>
    <row r="12" spans="1:8" s="1469" customFormat="1" ht="13.5" customHeight="1">
      <c r="A12" s="1791" t="s">
        <v>271</v>
      </c>
      <c r="B12" s="1794" t="s">
        <v>800</v>
      </c>
      <c r="C12" s="1799" t="s">
        <v>272</v>
      </c>
      <c r="D12" s="1800"/>
      <c r="E12" s="1800"/>
      <c r="F12" s="1800"/>
      <c r="G12" s="1801"/>
      <c r="H12" s="1789" t="s">
        <v>273</v>
      </c>
    </row>
    <row r="13" spans="1:8" s="1469" customFormat="1" ht="12" customHeight="1">
      <c r="A13" s="1792"/>
      <c r="B13" s="1795"/>
      <c r="C13" s="1802"/>
      <c r="D13" s="1803"/>
      <c r="E13" s="1803"/>
      <c r="F13" s="1803"/>
      <c r="G13" s="1804"/>
      <c r="H13" s="1790"/>
    </row>
    <row r="14" spans="1:8" s="1469" customFormat="1" ht="9" customHeight="1">
      <c r="A14" s="1792"/>
      <c r="B14" s="1795"/>
      <c r="C14" s="1805"/>
      <c r="D14" s="1806"/>
      <c r="E14" s="1806"/>
      <c r="F14" s="1806"/>
      <c r="G14" s="1807"/>
      <c r="H14" s="1790"/>
    </row>
    <row r="15" spans="1:8" s="1469" customFormat="1" ht="12.75" thickBot="1">
      <c r="A15" s="1793"/>
      <c r="B15" s="1796"/>
      <c r="C15" s="1470" t="s">
        <v>274</v>
      </c>
      <c r="D15" s="1470" t="s">
        <v>275</v>
      </c>
      <c r="E15" s="1470" t="s">
        <v>276</v>
      </c>
      <c r="F15" s="1471" t="s">
        <v>277</v>
      </c>
      <c r="G15" s="1472" t="s">
        <v>278</v>
      </c>
      <c r="H15" s="1473"/>
    </row>
    <row r="16" spans="1:8" s="1469" customFormat="1" ht="12.75" thickBot="1">
      <c r="A16" s="1474" t="s">
        <v>279</v>
      </c>
      <c r="B16" s="1475">
        <f>F4</f>
        <v>7000</v>
      </c>
      <c r="C16" s="1475">
        <f>F6</f>
        <v>400</v>
      </c>
      <c r="D16" s="1475">
        <f>F7</f>
        <v>1000</v>
      </c>
      <c r="E16" s="1475">
        <f>F8</f>
        <v>1500</v>
      </c>
      <c r="F16" s="1476">
        <f>F9</f>
        <v>6190</v>
      </c>
      <c r="G16" s="1477">
        <f>F10</f>
        <v>0</v>
      </c>
      <c r="H16" s="1478">
        <f>SUM(B16:G16)</f>
        <v>16090</v>
      </c>
    </row>
    <row r="17" spans="1:8" s="1469" customFormat="1" ht="12">
      <c r="A17" s="1479" t="s">
        <v>1125</v>
      </c>
      <c r="B17" s="1480"/>
      <c r="C17" s="1480"/>
      <c r="D17" s="1592"/>
      <c r="E17" s="1480">
        <v>-150</v>
      </c>
      <c r="F17" s="1593"/>
      <c r="G17" s="1594"/>
      <c r="H17" s="1481">
        <f>E17</f>
        <v>-150</v>
      </c>
    </row>
    <row r="18" spans="1:8" s="1469" customFormat="1" ht="12">
      <c r="A18" s="1482" t="s">
        <v>1126</v>
      </c>
      <c r="B18" s="1483"/>
      <c r="C18" s="1483"/>
      <c r="D18" s="1483"/>
      <c r="E18" s="1483">
        <v>-40</v>
      </c>
      <c r="F18" s="1484"/>
      <c r="G18" s="1485"/>
      <c r="H18" s="1481">
        <f>E18</f>
        <v>-40</v>
      </c>
    </row>
    <row r="19" spans="1:8" s="1469" customFormat="1" ht="12">
      <c r="A19" s="1482" t="s">
        <v>1127</v>
      </c>
      <c r="B19" s="1483"/>
      <c r="C19" s="1483"/>
      <c r="D19" s="1483"/>
      <c r="E19" s="1483">
        <v>-136</v>
      </c>
      <c r="F19" s="1484"/>
      <c r="G19" s="1485"/>
      <c r="H19" s="1481">
        <f>E19</f>
        <v>-136</v>
      </c>
    </row>
    <row r="20" spans="1:8" s="1469" customFormat="1" ht="12.75" customHeight="1">
      <c r="A20" s="1486" t="s">
        <v>1128</v>
      </c>
      <c r="B20" s="1483"/>
      <c r="C20" s="1483"/>
      <c r="D20" s="1483"/>
      <c r="E20" s="1483">
        <v>-50</v>
      </c>
      <c r="F20" s="1484"/>
      <c r="G20" s="1485"/>
      <c r="H20" s="1481">
        <v>-50</v>
      </c>
    </row>
    <row r="21" spans="1:8" s="1469" customFormat="1" ht="12">
      <c r="A21" s="1482" t="s">
        <v>1129</v>
      </c>
      <c r="B21" s="1483"/>
      <c r="C21" s="1483"/>
      <c r="D21" s="1483"/>
      <c r="E21" s="1483">
        <v>-31</v>
      </c>
      <c r="F21" s="1484"/>
      <c r="G21" s="1485"/>
      <c r="H21" s="1481">
        <v>-31</v>
      </c>
    </row>
    <row r="22" spans="1:8" s="1469" customFormat="1" ht="12">
      <c r="A22" s="1487" t="s">
        <v>1140</v>
      </c>
      <c r="B22" s="1488"/>
      <c r="C22" s="1488"/>
      <c r="D22" s="1488"/>
      <c r="E22" s="1488">
        <v>-50</v>
      </c>
      <c r="F22" s="1489"/>
      <c r="G22" s="1485"/>
      <c r="H22" s="1481">
        <f>E22</f>
        <v>-50</v>
      </c>
    </row>
    <row r="23" spans="1:8" s="1469" customFormat="1" ht="21">
      <c r="A23" s="1487" t="s">
        <v>1130</v>
      </c>
      <c r="B23" s="1488"/>
      <c r="C23" s="1488"/>
      <c r="D23" s="1488"/>
      <c r="E23" s="1488">
        <v>-100</v>
      </c>
      <c r="F23" s="1489"/>
      <c r="G23" s="1485"/>
      <c r="H23" s="1481">
        <f aca="true" t="shared" si="0" ref="H23:H28">E23</f>
        <v>-100</v>
      </c>
    </row>
    <row r="24" spans="1:9" ht="12.75" customHeight="1">
      <c r="A24" s="1490" t="s">
        <v>1131</v>
      </c>
      <c r="B24" s="1488"/>
      <c r="C24" s="1491"/>
      <c r="D24" s="1491"/>
      <c r="E24" s="1491">
        <v>-40</v>
      </c>
      <c r="F24" s="1491"/>
      <c r="G24" s="1492"/>
      <c r="H24" s="1481">
        <f t="shared" si="0"/>
        <v>-40</v>
      </c>
      <c r="I24" s="1493"/>
    </row>
    <row r="25" spans="1:9" ht="12.75" customHeight="1">
      <c r="A25" s="1490" t="s">
        <v>1132</v>
      </c>
      <c r="B25" s="1488"/>
      <c r="C25" s="1491"/>
      <c r="D25" s="1491"/>
      <c r="E25" s="1491">
        <v>-150</v>
      </c>
      <c r="F25" s="1491"/>
      <c r="G25" s="1492"/>
      <c r="H25" s="1481">
        <f t="shared" si="0"/>
        <v>-150</v>
      </c>
      <c r="I25" s="1493"/>
    </row>
    <row r="26" spans="1:9" ht="12.75" customHeight="1">
      <c r="A26" s="1490" t="s">
        <v>1133</v>
      </c>
      <c r="B26" s="1488"/>
      <c r="C26" s="1491"/>
      <c r="D26" s="1491"/>
      <c r="E26" s="1491">
        <v>-150</v>
      </c>
      <c r="F26" s="1491"/>
      <c r="G26" s="1492"/>
      <c r="H26" s="1481">
        <f t="shared" si="0"/>
        <v>-150</v>
      </c>
      <c r="I26" s="1493"/>
    </row>
    <row r="27" spans="1:9" ht="12.75" customHeight="1">
      <c r="A27" s="1490" t="s">
        <v>0</v>
      </c>
      <c r="B27" s="1488"/>
      <c r="C27" s="1491"/>
      <c r="D27" s="1491"/>
      <c r="E27" s="1491">
        <v>-595</v>
      </c>
      <c r="F27" s="1491"/>
      <c r="G27" s="1492"/>
      <c r="H27" s="1481">
        <f t="shared" si="0"/>
        <v>-595</v>
      </c>
      <c r="I27" s="1493"/>
    </row>
    <row r="28" spans="1:9" ht="12.75" customHeight="1">
      <c r="A28" s="1490" t="s">
        <v>1138</v>
      </c>
      <c r="B28" s="1488"/>
      <c r="C28" s="1491"/>
      <c r="D28" s="1491"/>
      <c r="E28" s="1491">
        <v>200</v>
      </c>
      <c r="F28" s="1491"/>
      <c r="G28" s="1492"/>
      <c r="H28" s="1481">
        <f t="shared" si="0"/>
        <v>200</v>
      </c>
      <c r="I28" s="1493"/>
    </row>
    <row r="29" spans="1:9" ht="12.75" customHeight="1">
      <c r="A29" s="1490" t="s">
        <v>1134</v>
      </c>
      <c r="B29" s="1488"/>
      <c r="C29" s="1491"/>
      <c r="D29" s="1491">
        <v>-180</v>
      </c>
      <c r="E29" s="1491"/>
      <c r="F29" s="1491"/>
      <c r="G29" s="1492"/>
      <c r="H29" s="1481">
        <v>-180</v>
      </c>
      <c r="I29" s="1493"/>
    </row>
    <row r="30" spans="1:9" ht="12.75" customHeight="1">
      <c r="A30" s="1490" t="s">
        <v>1135</v>
      </c>
      <c r="B30" s="1488"/>
      <c r="C30" s="1491"/>
      <c r="D30" s="1491"/>
      <c r="E30" s="1491"/>
      <c r="F30" s="1491"/>
      <c r="G30" s="1492">
        <v>180</v>
      </c>
      <c r="H30" s="1481">
        <v>180</v>
      </c>
      <c r="I30" s="1493"/>
    </row>
    <row r="31" spans="1:9" ht="12.75" customHeight="1">
      <c r="A31" s="1490" t="s">
        <v>858</v>
      </c>
      <c r="B31" s="1488"/>
      <c r="C31" s="1491"/>
      <c r="D31" s="1491"/>
      <c r="E31" s="1491"/>
      <c r="F31" s="1491"/>
      <c r="G31" s="1492">
        <v>-180</v>
      </c>
      <c r="H31" s="1481">
        <v>-180</v>
      </c>
      <c r="I31" s="1493"/>
    </row>
    <row r="32" spans="1:9" ht="12.75" customHeight="1">
      <c r="A32" s="1490" t="s">
        <v>1137</v>
      </c>
      <c r="B32" s="1488"/>
      <c r="C32" s="1491"/>
      <c r="D32" s="1491">
        <v>-200</v>
      </c>
      <c r="E32" s="1491"/>
      <c r="F32" s="1491"/>
      <c r="G32" s="1492"/>
      <c r="H32" s="1481">
        <v>-200</v>
      </c>
      <c r="I32" s="1493"/>
    </row>
    <row r="33" spans="1:9" ht="12.75" customHeight="1">
      <c r="A33" s="1490" t="s">
        <v>1139</v>
      </c>
      <c r="B33" s="1488">
        <v>11000</v>
      </c>
      <c r="C33" s="1491"/>
      <c r="D33" s="1491"/>
      <c r="E33" s="1491"/>
      <c r="F33" s="1491"/>
      <c r="G33" s="1492"/>
      <c r="H33" s="1481">
        <v>11000</v>
      </c>
      <c r="I33" s="1493"/>
    </row>
    <row r="34" spans="1:9" ht="12.75" customHeight="1" thickBot="1">
      <c r="A34" s="1490" t="s">
        <v>1136</v>
      </c>
      <c r="B34" s="1488">
        <v>-13815</v>
      </c>
      <c r="C34" s="1491"/>
      <c r="D34" s="1491"/>
      <c r="E34" s="1491"/>
      <c r="F34" s="1491"/>
      <c r="G34" s="1492"/>
      <c r="H34" s="1481">
        <v>-13815</v>
      </c>
      <c r="I34" s="1493"/>
    </row>
    <row r="35" spans="1:9" ht="14.25" customHeight="1" thickBot="1">
      <c r="A35" s="1494" t="s">
        <v>280</v>
      </c>
      <c r="B35" s="1495">
        <f aca="true" t="shared" si="1" ref="B35:G35">SUM(B16:B34)</f>
        <v>4185</v>
      </c>
      <c r="C35" s="1496">
        <f t="shared" si="1"/>
        <v>400</v>
      </c>
      <c r="D35" s="1496">
        <f t="shared" si="1"/>
        <v>620</v>
      </c>
      <c r="E35" s="1496">
        <f t="shared" si="1"/>
        <v>208</v>
      </c>
      <c r="F35" s="1496">
        <f t="shared" si="1"/>
        <v>6190</v>
      </c>
      <c r="G35" s="1496">
        <f t="shared" si="1"/>
        <v>0</v>
      </c>
      <c r="H35" s="1478">
        <f>SUM(B35:G35)</f>
        <v>11603</v>
      </c>
      <c r="I35" s="1493"/>
    </row>
  </sheetData>
  <sheetProtection/>
  <mergeCells count="12">
    <mergeCell ref="A9:E9"/>
    <mergeCell ref="H12:H14"/>
    <mergeCell ref="A12:A15"/>
    <mergeCell ref="B12:B15"/>
    <mergeCell ref="A10:E10"/>
    <mergeCell ref="C12:G14"/>
    <mergeCell ref="A3:E3"/>
    <mergeCell ref="A4:E4"/>
    <mergeCell ref="A5:E5"/>
    <mergeCell ref="A6:E6"/>
    <mergeCell ref="A7:E7"/>
    <mergeCell ref="A8:E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headerFooter alignWithMargins="0">
    <oddHeader>&amp;C3. kimutatás: a 2012. évi általános és céltartalékok alakulása célonkénti bontásban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B1">
      <selection activeCell="E23" sqref="E23"/>
    </sheetView>
  </sheetViews>
  <sheetFormatPr defaultColWidth="7.75390625" defaultRowHeight="12.75"/>
  <cols>
    <col min="1" max="1" width="3.125" style="1" customWidth="1"/>
    <col min="2" max="2" width="46.75390625" style="759" customWidth="1"/>
    <col min="3" max="14" width="7.875" style="1" customWidth="1"/>
    <col min="15" max="15" width="8.75390625" style="1" customWidth="1"/>
    <col min="16" max="16384" width="7.75390625" style="1" customWidth="1"/>
  </cols>
  <sheetData>
    <row r="1" spans="11:15" ht="12.75">
      <c r="K1" s="1810"/>
      <c r="L1" s="1810"/>
      <c r="M1" s="1810"/>
      <c r="N1" s="1810"/>
      <c r="O1" s="1810"/>
    </row>
    <row r="3" spans="12:15" ht="23.25" customHeight="1" thickBot="1">
      <c r="L3"/>
      <c r="O3" s="760" t="s">
        <v>301</v>
      </c>
    </row>
    <row r="4" spans="1:15" ht="13.5" thickBot="1">
      <c r="A4" s="1811" t="s">
        <v>302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3"/>
    </row>
    <row r="5" spans="1:15" s="2" customFormat="1" ht="12.75">
      <c r="A5" s="761"/>
      <c r="B5" s="762"/>
      <c r="C5" s="763" t="s">
        <v>303</v>
      </c>
      <c r="D5" s="763" t="s">
        <v>304</v>
      </c>
      <c r="E5" s="763" t="s">
        <v>305</v>
      </c>
      <c r="F5" s="763" t="s">
        <v>306</v>
      </c>
      <c r="G5" s="763" t="s">
        <v>307</v>
      </c>
      <c r="H5" s="763" t="s">
        <v>308</v>
      </c>
      <c r="I5" s="763" t="s">
        <v>309</v>
      </c>
      <c r="J5" s="763" t="s">
        <v>310</v>
      </c>
      <c r="K5" s="763" t="s">
        <v>311</v>
      </c>
      <c r="L5" s="763" t="s">
        <v>312</v>
      </c>
      <c r="M5" s="763" t="s">
        <v>313</v>
      </c>
      <c r="N5" s="763" t="s">
        <v>314</v>
      </c>
      <c r="O5" s="764" t="s">
        <v>315</v>
      </c>
    </row>
    <row r="6" spans="1:15" ht="15" customHeight="1">
      <c r="A6" s="765" t="s">
        <v>316</v>
      </c>
      <c r="B6" s="766" t="s">
        <v>617</v>
      </c>
      <c r="C6" s="767">
        <v>1409</v>
      </c>
      <c r="D6" s="767">
        <v>1179</v>
      </c>
      <c r="E6" s="767">
        <v>1724</v>
      </c>
      <c r="F6" s="767">
        <v>1510</v>
      </c>
      <c r="G6" s="767">
        <v>1787</v>
      </c>
      <c r="H6" s="767">
        <v>5000</v>
      </c>
      <c r="I6" s="767">
        <v>2958</v>
      </c>
      <c r="J6" s="767">
        <v>1584</v>
      </c>
      <c r="K6" s="767">
        <v>3122</v>
      </c>
      <c r="L6" s="767">
        <v>2243</v>
      </c>
      <c r="M6" s="767">
        <v>1336</v>
      </c>
      <c r="N6" s="767">
        <v>1048</v>
      </c>
      <c r="O6" s="768">
        <v>24900</v>
      </c>
    </row>
    <row r="7" spans="1:15" ht="12.75">
      <c r="A7" s="769" t="s">
        <v>318</v>
      </c>
      <c r="B7" s="770" t="s">
        <v>581</v>
      </c>
      <c r="C7" s="771">
        <f>1070+129+41049</f>
        <v>42248</v>
      </c>
      <c r="D7" s="771">
        <f>1142+29069</f>
        <v>30211</v>
      </c>
      <c r="E7" s="771">
        <f>1224+53+262443</f>
        <v>263720</v>
      </c>
      <c r="F7" s="771">
        <f>1335+205+41686</f>
        <v>43226</v>
      </c>
      <c r="G7" s="771">
        <f>1256+194+46067</f>
        <v>47517</v>
      </c>
      <c r="H7" s="771">
        <f>1025+169+36937</f>
        <v>38131</v>
      </c>
      <c r="I7" s="771">
        <f>1333+211+29760</f>
        <v>31304</v>
      </c>
      <c r="J7" s="771">
        <f>1414+214+37173</f>
        <v>38801</v>
      </c>
      <c r="K7" s="771">
        <f>1056+457+300747</f>
        <v>302260</v>
      </c>
      <c r="L7" s="771">
        <f>1348+182+41400</f>
        <v>42930</v>
      </c>
      <c r="M7" s="771">
        <f>1041+230+47137</f>
        <v>48408</v>
      </c>
      <c r="N7" s="771">
        <f>976+78+96426</f>
        <v>97480</v>
      </c>
      <c r="O7" s="772">
        <v>1026236</v>
      </c>
    </row>
    <row r="8" spans="1:15" s="54" customFormat="1" ht="12.75">
      <c r="A8" s="773"/>
      <c r="B8" s="774" t="s">
        <v>629</v>
      </c>
      <c r="C8" s="775">
        <v>2299</v>
      </c>
      <c r="D8" s="775">
        <v>2764</v>
      </c>
      <c r="E8" s="775">
        <v>179290</v>
      </c>
      <c r="F8" s="775">
        <v>8149</v>
      </c>
      <c r="G8" s="775">
        <v>12928</v>
      </c>
      <c r="H8" s="775">
        <v>11879</v>
      </c>
      <c r="I8" s="775">
        <v>3585</v>
      </c>
      <c r="J8" s="775">
        <v>8396</v>
      </c>
      <c r="K8" s="775">
        <v>232896</v>
      </c>
      <c r="L8" s="775">
        <v>11665</v>
      </c>
      <c r="M8" s="775">
        <v>14609</v>
      </c>
      <c r="N8" s="775">
        <v>69160</v>
      </c>
      <c r="O8" s="776">
        <f>'2.mell'!C30</f>
        <v>557620</v>
      </c>
    </row>
    <row r="9" spans="1:15" ht="12.75">
      <c r="A9" s="769" t="s">
        <v>319</v>
      </c>
      <c r="B9" s="770" t="s">
        <v>317</v>
      </c>
      <c r="C9" s="771">
        <f>6232+5782</f>
        <v>12014</v>
      </c>
      <c r="D9" s="771">
        <f>1064+6103</f>
        <v>7167</v>
      </c>
      <c r="E9" s="771">
        <f>6145+6898</f>
        <v>13043</v>
      </c>
      <c r="F9" s="771">
        <f>2617+3978</f>
        <v>6595</v>
      </c>
      <c r="G9" s="771">
        <f>1981+6719</f>
        <v>8700</v>
      </c>
      <c r="H9" s="771">
        <f>1815+9670</f>
        <v>11485</v>
      </c>
      <c r="I9" s="771">
        <f>2255+7165</f>
        <v>9420</v>
      </c>
      <c r="J9" s="771">
        <f>6203+56224</f>
        <v>62427</v>
      </c>
      <c r="K9" s="771">
        <f>4084+5470</f>
        <v>9554</v>
      </c>
      <c r="L9" s="771">
        <f>7530+34</f>
        <v>7564</v>
      </c>
      <c r="M9" s="771">
        <f>1046+5180</f>
        <v>6226</v>
      </c>
      <c r="N9" s="771">
        <f>11298+46762</f>
        <v>58060</v>
      </c>
      <c r="O9" s="772">
        <f>237155-24900</f>
        <v>212255</v>
      </c>
    </row>
    <row r="10" spans="1:15" ht="12.75">
      <c r="A10" s="769" t="s">
        <v>321</v>
      </c>
      <c r="B10" s="770" t="s">
        <v>448</v>
      </c>
      <c r="C10" s="771">
        <v>97701</v>
      </c>
      <c r="D10" s="771">
        <v>3297</v>
      </c>
      <c r="E10" s="771">
        <v>7220</v>
      </c>
      <c r="F10" s="771">
        <v>6125</v>
      </c>
      <c r="G10" s="771">
        <v>27536</v>
      </c>
      <c r="H10" s="771">
        <v>6032</v>
      </c>
      <c r="I10" s="771">
        <v>68385</v>
      </c>
      <c r="J10" s="771">
        <v>192653</v>
      </c>
      <c r="K10" s="771">
        <v>21437</v>
      </c>
      <c r="L10" s="771">
        <v>193330</v>
      </c>
      <c r="M10" s="771">
        <v>141694</v>
      </c>
      <c r="N10" s="771">
        <v>27166</v>
      </c>
      <c r="O10" s="772">
        <f>169304+623272</f>
        <v>792576</v>
      </c>
    </row>
    <row r="11" spans="1:15" ht="13.5" customHeight="1">
      <c r="A11" s="769" t="s">
        <v>322</v>
      </c>
      <c r="B11" s="770" t="s">
        <v>618</v>
      </c>
      <c r="C11" s="771">
        <v>53</v>
      </c>
      <c r="D11" s="771">
        <v>119</v>
      </c>
      <c r="E11" s="771">
        <v>69</v>
      </c>
      <c r="F11" s="771">
        <v>1540</v>
      </c>
      <c r="G11" s="771">
        <v>43</v>
      </c>
      <c r="H11" s="771">
        <v>42</v>
      </c>
      <c r="I11" s="771">
        <v>40</v>
      </c>
      <c r="J11" s="771">
        <v>76</v>
      </c>
      <c r="K11" s="771">
        <v>74</v>
      </c>
      <c r="L11" s="771">
        <v>48</v>
      </c>
      <c r="M11" s="771">
        <v>108</v>
      </c>
      <c r="N11" s="771">
        <v>1156</v>
      </c>
      <c r="O11" s="772">
        <f>2882+486</f>
        <v>3368</v>
      </c>
    </row>
    <row r="12" spans="1:15" ht="12.75">
      <c r="A12" s="769" t="s">
        <v>323</v>
      </c>
      <c r="B12" s="770" t="s">
        <v>621</v>
      </c>
      <c r="C12" s="771">
        <v>50909</v>
      </c>
      <c r="D12" s="771">
        <v>2641</v>
      </c>
      <c r="E12" s="771">
        <v>1204</v>
      </c>
      <c r="F12" s="771">
        <v>2842</v>
      </c>
      <c r="G12" s="771">
        <v>1933</v>
      </c>
      <c r="H12" s="771">
        <v>2304</v>
      </c>
      <c r="I12" s="771">
        <v>20</v>
      </c>
      <c r="J12" s="771">
        <v>1877</v>
      </c>
      <c r="K12" s="771">
        <v>493</v>
      </c>
      <c r="L12" s="771">
        <v>3978</v>
      </c>
      <c r="M12" s="771">
        <v>784</v>
      </c>
      <c r="N12" s="771">
        <v>596</v>
      </c>
      <c r="O12" s="772">
        <f>1672+50831+17078</f>
        <v>69581</v>
      </c>
    </row>
    <row r="13" spans="1:15" ht="14.25" customHeight="1">
      <c r="A13" s="769" t="s">
        <v>324</v>
      </c>
      <c r="B13" s="777" t="s">
        <v>623</v>
      </c>
      <c r="C13" s="771">
        <v>296</v>
      </c>
      <c r="D13" s="771">
        <v>10</v>
      </c>
      <c r="E13" s="771">
        <v>860</v>
      </c>
      <c r="F13" s="771">
        <v>547</v>
      </c>
      <c r="G13" s="771">
        <v>10</v>
      </c>
      <c r="H13" s="771">
        <v>7</v>
      </c>
      <c r="I13" s="771">
        <v>1007</v>
      </c>
      <c r="J13" s="771">
        <v>7</v>
      </c>
      <c r="K13" s="771">
        <v>8</v>
      </c>
      <c r="L13" s="771">
        <v>237</v>
      </c>
      <c r="M13" s="771">
        <v>12</v>
      </c>
      <c r="N13" s="771">
        <v>5106</v>
      </c>
      <c r="O13" s="772">
        <f>5099+3008</f>
        <v>8107</v>
      </c>
    </row>
    <row r="14" spans="1:15" ht="13.5" customHeight="1">
      <c r="A14" s="769" t="s">
        <v>325</v>
      </c>
      <c r="B14" s="770" t="s">
        <v>622</v>
      </c>
      <c r="C14" s="771">
        <v>38568</v>
      </c>
      <c r="D14" s="771">
        <v>32861</v>
      </c>
      <c r="E14" s="771">
        <v>26951</v>
      </c>
      <c r="F14" s="771">
        <v>26461</v>
      </c>
      <c r="G14" s="771">
        <v>26205</v>
      </c>
      <c r="H14" s="771">
        <v>27172</v>
      </c>
      <c r="I14" s="771">
        <v>24703</v>
      </c>
      <c r="J14" s="771">
        <v>26292</v>
      </c>
      <c r="K14" s="771">
        <v>33654</v>
      </c>
      <c r="L14" s="771">
        <v>43456</v>
      </c>
      <c r="M14" s="771">
        <v>33121</v>
      </c>
      <c r="N14" s="771">
        <v>50327</v>
      </c>
      <c r="O14" s="772">
        <f>349432+40339</f>
        <v>389771</v>
      </c>
    </row>
    <row r="15" spans="1:15" ht="12.75">
      <c r="A15" s="769" t="s">
        <v>326</v>
      </c>
      <c r="B15" s="770" t="s">
        <v>634</v>
      </c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2">
        <v>0</v>
      </c>
    </row>
    <row r="16" spans="1:15" ht="26.25" thickBot="1">
      <c r="A16" s="769" t="s">
        <v>327</v>
      </c>
      <c r="B16" s="770" t="s">
        <v>811</v>
      </c>
      <c r="C16" s="771"/>
      <c r="D16" s="771"/>
      <c r="E16" s="771"/>
      <c r="F16" s="771"/>
      <c r="G16" s="771"/>
      <c r="H16" s="771">
        <f>1404+42062</f>
        <v>43466</v>
      </c>
      <c r="I16" s="771"/>
      <c r="J16" s="771"/>
      <c r="K16" s="771"/>
      <c r="L16" s="771"/>
      <c r="M16" s="771">
        <v>135514</v>
      </c>
      <c r="N16" s="771"/>
      <c r="O16" s="772">
        <f>17048+118466+1404+42062</f>
        <v>178980</v>
      </c>
    </row>
    <row r="17" spans="1:15" s="3" customFormat="1" ht="14.25" thickBot="1" thickTop="1">
      <c r="A17" s="1814" t="s">
        <v>315</v>
      </c>
      <c r="B17" s="1815"/>
      <c r="C17" s="778">
        <f>SUM(C6:C16)-C8</f>
        <v>243198</v>
      </c>
      <c r="D17" s="778">
        <f aca="true" t="shared" si="0" ref="D17:O17">SUM(D6:D16)-D8</f>
        <v>77485</v>
      </c>
      <c r="E17" s="778">
        <f t="shared" si="0"/>
        <v>314791</v>
      </c>
      <c r="F17" s="778">
        <f t="shared" si="0"/>
        <v>88846</v>
      </c>
      <c r="G17" s="778">
        <f t="shared" si="0"/>
        <v>113731</v>
      </c>
      <c r="H17" s="778">
        <f t="shared" si="0"/>
        <v>133639</v>
      </c>
      <c r="I17" s="778">
        <f t="shared" si="0"/>
        <v>137837</v>
      </c>
      <c r="J17" s="778">
        <f t="shared" si="0"/>
        <v>323717</v>
      </c>
      <c r="K17" s="778">
        <f t="shared" si="0"/>
        <v>370602</v>
      </c>
      <c r="L17" s="778">
        <f t="shared" si="0"/>
        <v>293786</v>
      </c>
      <c r="M17" s="778">
        <f t="shared" si="0"/>
        <v>367203</v>
      </c>
      <c r="N17" s="778">
        <f t="shared" si="0"/>
        <v>240939</v>
      </c>
      <c r="O17" s="779">
        <f t="shared" si="0"/>
        <v>2705774</v>
      </c>
    </row>
    <row r="18" spans="1:15" ht="7.5" customHeight="1" thickBot="1" thickTop="1">
      <c r="A18" s="780"/>
      <c r="B18" s="781"/>
      <c r="C18" s="782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84"/>
    </row>
    <row r="19" spans="1:15" ht="3.75" customHeight="1">
      <c r="A19" s="785"/>
      <c r="B19" s="786"/>
      <c r="C19" s="785"/>
      <c r="D19" s="785"/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7"/>
    </row>
    <row r="20" spans="1:15" ht="7.5" customHeight="1" thickBot="1">
      <c r="A20" s="785"/>
      <c r="B20" s="786"/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8" t="s">
        <v>446</v>
      </c>
    </row>
    <row r="21" spans="1:15" ht="13.5" thickBot="1">
      <c r="A21" s="1811" t="s">
        <v>329</v>
      </c>
      <c r="B21" s="1812"/>
      <c r="C21" s="1812"/>
      <c r="D21" s="1812"/>
      <c r="E21" s="1812"/>
      <c r="F21" s="1812"/>
      <c r="G21" s="1812"/>
      <c r="H21" s="1812"/>
      <c r="I21" s="1812"/>
      <c r="J21" s="1812"/>
      <c r="K21" s="1812"/>
      <c r="L21" s="1812"/>
      <c r="M21" s="1812"/>
      <c r="N21" s="1812"/>
      <c r="O21" s="1813"/>
    </row>
    <row r="22" spans="1:15" s="2" customFormat="1" ht="12.75">
      <c r="A22" s="761"/>
      <c r="B22" s="762"/>
      <c r="C22" s="789" t="s">
        <v>303</v>
      </c>
      <c r="D22" s="789" t="s">
        <v>304</v>
      </c>
      <c r="E22" s="789" t="s">
        <v>305</v>
      </c>
      <c r="F22" s="789" t="s">
        <v>306</v>
      </c>
      <c r="G22" s="789" t="s">
        <v>307</v>
      </c>
      <c r="H22" s="789" t="s">
        <v>308</v>
      </c>
      <c r="I22" s="789" t="s">
        <v>309</v>
      </c>
      <c r="J22" s="789" t="s">
        <v>310</v>
      </c>
      <c r="K22" s="789" t="s">
        <v>311</v>
      </c>
      <c r="L22" s="789" t="s">
        <v>312</v>
      </c>
      <c r="M22" s="789" t="s">
        <v>313</v>
      </c>
      <c r="N22" s="789" t="s">
        <v>314</v>
      </c>
      <c r="O22" s="790" t="s">
        <v>315</v>
      </c>
    </row>
    <row r="23" spans="1:15" ht="5.25" customHeight="1">
      <c r="A23" s="791"/>
      <c r="B23" s="786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3"/>
    </row>
    <row r="24" spans="1:15" ht="12.75">
      <c r="A24" s="794" t="s">
        <v>316</v>
      </c>
      <c r="B24" s="795" t="s">
        <v>330</v>
      </c>
      <c r="C24" s="767">
        <v>33460</v>
      </c>
      <c r="D24" s="767">
        <v>28147</v>
      </c>
      <c r="E24" s="767">
        <v>31981</v>
      </c>
      <c r="F24" s="767">
        <v>37346</v>
      </c>
      <c r="G24" s="767">
        <v>37927</v>
      </c>
      <c r="H24" s="767">
        <v>36122</v>
      </c>
      <c r="I24" s="767">
        <v>37397</v>
      </c>
      <c r="J24" s="767">
        <v>34936</v>
      </c>
      <c r="K24" s="767">
        <v>36115</v>
      </c>
      <c r="L24" s="767">
        <v>35588</v>
      </c>
      <c r="M24" s="767">
        <v>36300</v>
      </c>
      <c r="N24" s="767">
        <v>35878</v>
      </c>
      <c r="O24" s="768">
        <v>421197</v>
      </c>
    </row>
    <row r="25" spans="1:15" ht="25.5">
      <c r="A25" s="769" t="s">
        <v>318</v>
      </c>
      <c r="B25" s="796" t="s">
        <v>636</v>
      </c>
      <c r="C25" s="771">
        <v>8551</v>
      </c>
      <c r="D25" s="771">
        <v>7552</v>
      </c>
      <c r="E25" s="771">
        <v>8247</v>
      </c>
      <c r="F25" s="771">
        <v>9088</v>
      </c>
      <c r="G25" s="771">
        <v>8891</v>
      </c>
      <c r="H25" s="771">
        <v>8643</v>
      </c>
      <c r="I25" s="771">
        <v>9069</v>
      </c>
      <c r="J25" s="771">
        <v>8580</v>
      </c>
      <c r="K25" s="771">
        <v>8788</v>
      </c>
      <c r="L25" s="771">
        <v>8617</v>
      </c>
      <c r="M25" s="771">
        <v>8661</v>
      </c>
      <c r="N25" s="771">
        <v>8559</v>
      </c>
      <c r="O25" s="772">
        <v>103246</v>
      </c>
    </row>
    <row r="26" spans="1:15" ht="12.75">
      <c r="A26" s="769" t="s">
        <v>319</v>
      </c>
      <c r="B26" s="797" t="s">
        <v>331</v>
      </c>
      <c r="C26" s="771">
        <v>23605</v>
      </c>
      <c r="D26" s="771">
        <v>27636</v>
      </c>
      <c r="E26" s="771">
        <v>40820</v>
      </c>
      <c r="F26" s="771">
        <v>63978</v>
      </c>
      <c r="G26" s="771">
        <v>41620</v>
      </c>
      <c r="H26" s="771">
        <v>68629</v>
      </c>
      <c r="I26" s="771">
        <v>34493</v>
      </c>
      <c r="J26" s="771">
        <v>49783</v>
      </c>
      <c r="K26" s="771">
        <v>30658</v>
      </c>
      <c r="L26" s="771">
        <v>55766</v>
      </c>
      <c r="M26" s="771">
        <v>26840</v>
      </c>
      <c r="N26" s="771">
        <v>39023</v>
      </c>
      <c r="O26" s="772">
        <v>502851</v>
      </c>
    </row>
    <row r="27" spans="1:15" ht="12.75">
      <c r="A27" s="798" t="s">
        <v>321</v>
      </c>
      <c r="B27" s="799" t="s">
        <v>451</v>
      </c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8">
        <f>'[1]2.mell'!E37</f>
        <v>0</v>
      </c>
    </row>
    <row r="28" spans="1:15" ht="13.5" customHeight="1">
      <c r="A28" s="798" t="s">
        <v>322</v>
      </c>
      <c r="B28" s="800" t="s">
        <v>548</v>
      </c>
      <c r="C28" s="767">
        <f>C29+C30</f>
        <v>49413</v>
      </c>
      <c r="D28" s="767">
        <f aca="true" t="shared" si="1" ref="D28:N28">D29+D30</f>
        <v>40518</v>
      </c>
      <c r="E28" s="767">
        <f t="shared" si="1"/>
        <v>43129</v>
      </c>
      <c r="F28" s="767">
        <f t="shared" si="1"/>
        <v>43950</v>
      </c>
      <c r="G28" s="767">
        <f t="shared" si="1"/>
        <v>11260</v>
      </c>
      <c r="H28" s="767">
        <f t="shared" si="1"/>
        <v>105477</v>
      </c>
      <c r="I28" s="767">
        <f t="shared" si="1"/>
        <v>60468</v>
      </c>
      <c r="J28" s="767">
        <f t="shared" si="1"/>
        <v>50347</v>
      </c>
      <c r="K28" s="767">
        <f t="shared" si="1"/>
        <v>28886</v>
      </c>
      <c r="L28" s="767">
        <f t="shared" si="1"/>
        <v>42556</v>
      </c>
      <c r="M28" s="767">
        <f t="shared" si="1"/>
        <v>7520</v>
      </c>
      <c r="N28" s="767">
        <f t="shared" si="1"/>
        <v>91219</v>
      </c>
      <c r="O28" s="768">
        <f>O29+O30</f>
        <v>574743</v>
      </c>
    </row>
    <row r="29" spans="1:15" s="54" customFormat="1" ht="24" customHeight="1">
      <c r="A29" s="801"/>
      <c r="B29" s="802" t="s">
        <v>637</v>
      </c>
      <c r="C29" s="803">
        <v>10676</v>
      </c>
      <c r="D29" s="803">
        <v>11299</v>
      </c>
      <c r="E29" s="803">
        <v>7207</v>
      </c>
      <c r="F29" s="803">
        <v>10160</v>
      </c>
      <c r="G29" s="803">
        <v>9438</v>
      </c>
      <c r="H29" s="803">
        <v>13169</v>
      </c>
      <c r="I29" s="803">
        <v>13672</v>
      </c>
      <c r="J29" s="803">
        <v>12753</v>
      </c>
      <c r="K29" s="803">
        <v>5087</v>
      </c>
      <c r="L29" s="803">
        <v>18519</v>
      </c>
      <c r="M29" s="803">
        <v>7234</v>
      </c>
      <c r="N29" s="803">
        <v>15421</v>
      </c>
      <c r="O29" s="804">
        <f>134635</f>
        <v>134635</v>
      </c>
    </row>
    <row r="30" spans="1:15" s="54" customFormat="1" ht="14.25" customHeight="1">
      <c r="A30" s="801"/>
      <c r="B30" s="805" t="s">
        <v>638</v>
      </c>
      <c r="C30" s="803">
        <v>38737</v>
      </c>
      <c r="D30" s="803">
        <v>29219</v>
      </c>
      <c r="E30" s="803">
        <v>35922</v>
      </c>
      <c r="F30" s="803">
        <v>33790</v>
      </c>
      <c r="G30" s="803">
        <v>1822</v>
      </c>
      <c r="H30" s="803">
        <f>38730+53578</f>
        <v>92308</v>
      </c>
      <c r="I30" s="803">
        <v>46796</v>
      </c>
      <c r="J30" s="803">
        <v>37594</v>
      </c>
      <c r="K30" s="803">
        <v>23799</v>
      </c>
      <c r="L30" s="803">
        <v>24037</v>
      </c>
      <c r="M30" s="803">
        <v>286</v>
      </c>
      <c r="N30" s="803">
        <v>75798</v>
      </c>
      <c r="O30" s="804">
        <f>38730+401378</f>
        <v>440108</v>
      </c>
    </row>
    <row r="31" spans="1:15" ht="12.75">
      <c r="A31" s="798" t="s">
        <v>323</v>
      </c>
      <c r="B31" s="806" t="s">
        <v>332</v>
      </c>
      <c r="C31" s="807">
        <v>9077</v>
      </c>
      <c r="D31" s="771">
        <f>150+33832</f>
        <v>33982</v>
      </c>
      <c r="E31" s="771">
        <v>8739</v>
      </c>
      <c r="F31" s="771">
        <f>1099+36913</f>
        <v>38012</v>
      </c>
      <c r="G31" s="771">
        <v>24751</v>
      </c>
      <c r="H31" s="771">
        <f>397+118864+5888+397</f>
        <v>125546</v>
      </c>
      <c r="I31" s="771">
        <f>130+65169</f>
        <v>65299</v>
      </c>
      <c r="J31" s="771">
        <v>243678</v>
      </c>
      <c r="K31" s="771">
        <v>22796</v>
      </c>
      <c r="L31" s="771">
        <v>15658</v>
      </c>
      <c r="M31" s="771">
        <v>220496</v>
      </c>
      <c r="N31" s="771">
        <f>300+91882+180</f>
        <v>92362</v>
      </c>
      <c r="O31" s="772">
        <f>660374+226391+13234+397</f>
        <v>900396</v>
      </c>
    </row>
    <row r="32" spans="1:15" ht="12.75">
      <c r="A32" s="798" t="s">
        <v>324</v>
      </c>
      <c r="B32" s="808" t="s">
        <v>333</v>
      </c>
      <c r="C32" s="807"/>
      <c r="D32" s="771"/>
      <c r="E32" s="771"/>
      <c r="F32" s="771"/>
      <c r="G32" s="771"/>
      <c r="H32" s="771"/>
      <c r="I32" s="771"/>
      <c r="J32" s="771"/>
      <c r="K32" s="771"/>
      <c r="L32" s="771"/>
      <c r="M32" s="771"/>
      <c r="N32" s="771"/>
      <c r="O32" s="772"/>
    </row>
    <row r="33" spans="1:15" ht="14.25" customHeight="1">
      <c r="A33" s="798" t="s">
        <v>325</v>
      </c>
      <c r="B33" s="797" t="s">
        <v>639</v>
      </c>
      <c r="C33" s="771"/>
      <c r="D33" s="771"/>
      <c r="E33" s="771"/>
      <c r="F33" s="771"/>
      <c r="G33" s="771">
        <v>3614</v>
      </c>
      <c r="H33" s="771">
        <v>1</v>
      </c>
      <c r="I33" s="771">
        <v>180</v>
      </c>
      <c r="J33" s="771">
        <v>495</v>
      </c>
      <c r="K33" s="771"/>
      <c r="L33" s="771"/>
      <c r="M33" s="771"/>
      <c r="N33" s="771"/>
      <c r="O33" s="772">
        <f>180+4110</f>
        <v>4290</v>
      </c>
    </row>
    <row r="34" spans="1:15" ht="14.25" customHeight="1" thickBot="1">
      <c r="A34" s="809" t="s">
        <v>326</v>
      </c>
      <c r="B34" s="810" t="s">
        <v>590</v>
      </c>
      <c r="C34" s="811">
        <v>31403</v>
      </c>
      <c r="D34" s="811"/>
      <c r="E34" s="811">
        <v>245</v>
      </c>
      <c r="F34" s="811"/>
      <c r="G34" s="811"/>
      <c r="H34" s="811">
        <v>244</v>
      </c>
      <c r="I34" s="811"/>
      <c r="J34" s="811"/>
      <c r="K34" s="811">
        <v>245</v>
      </c>
      <c r="L34" s="811"/>
      <c r="M34" s="811"/>
      <c r="N34" s="811">
        <v>244</v>
      </c>
      <c r="O34" s="812">
        <f>31403+978</f>
        <v>32381</v>
      </c>
    </row>
    <row r="35" spans="1:15" ht="14.25" thickBot="1" thickTop="1">
      <c r="A35" s="1808" t="s">
        <v>315</v>
      </c>
      <c r="B35" s="1809"/>
      <c r="C35" s="813">
        <f>SUM(C24:C34)-C29-C30</f>
        <v>155509</v>
      </c>
      <c r="D35" s="813">
        <f aca="true" t="shared" si="2" ref="D35:N35">SUM(D24:D34)-D29-D30</f>
        <v>137835</v>
      </c>
      <c r="E35" s="813">
        <f t="shared" si="2"/>
        <v>133161</v>
      </c>
      <c r="F35" s="813">
        <f t="shared" si="2"/>
        <v>192374</v>
      </c>
      <c r="G35" s="813">
        <f t="shared" si="2"/>
        <v>128063</v>
      </c>
      <c r="H35" s="813">
        <f t="shared" si="2"/>
        <v>344662</v>
      </c>
      <c r="I35" s="813">
        <f t="shared" si="2"/>
        <v>206906</v>
      </c>
      <c r="J35" s="813">
        <f t="shared" si="2"/>
        <v>387819</v>
      </c>
      <c r="K35" s="813">
        <f t="shared" si="2"/>
        <v>127488</v>
      </c>
      <c r="L35" s="813">
        <f t="shared" si="2"/>
        <v>158185</v>
      </c>
      <c r="M35" s="813">
        <f t="shared" si="2"/>
        <v>299817</v>
      </c>
      <c r="N35" s="813">
        <f t="shared" si="2"/>
        <v>267285</v>
      </c>
      <c r="O35" s="814">
        <f>O24+O25+O26+O27+O28+O31+O32+O33+O34</f>
        <v>2539104</v>
      </c>
    </row>
    <row r="36" spans="1:15" ht="7.5" customHeight="1">
      <c r="A36" s="815"/>
      <c r="B36" s="786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</row>
  </sheetData>
  <sheetProtection/>
  <mergeCells count="5">
    <mergeCell ref="A35:B35"/>
    <mergeCell ref="K1:O1"/>
    <mergeCell ref="A4:O4"/>
    <mergeCell ref="A17:B17"/>
    <mergeCell ref="A21:O2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6" r:id="rId2"/>
  <rowBreaks count="1" manualBreakCount="1">
    <brk id="3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205"/>
  <sheetViews>
    <sheetView zoomScaleSheetLayoutView="100" zoomScalePageLayoutView="0" workbookViewId="0" topLeftCell="A1">
      <selection activeCell="C204" sqref="C204"/>
    </sheetView>
  </sheetViews>
  <sheetFormatPr defaultColWidth="9.00390625" defaultRowHeight="12.75"/>
  <cols>
    <col min="1" max="1" width="4.125" style="136" customWidth="1"/>
    <col min="2" max="2" width="51.375" style="137" customWidth="1"/>
    <col min="3" max="3" width="11.375" style="259" customWidth="1"/>
    <col min="4" max="4" width="11.625" style="259" customWidth="1"/>
    <col min="5" max="5" width="10.75390625" style="260" customWidth="1"/>
    <col min="6" max="16384" width="9.125" style="4" customWidth="1"/>
  </cols>
  <sheetData>
    <row r="5" spans="3:5" ht="13.5" thickBot="1">
      <c r="C5" s="138"/>
      <c r="D5" s="138"/>
      <c r="E5" s="139" t="s">
        <v>301</v>
      </c>
    </row>
    <row r="6" spans="1:5" ht="5.25" customHeight="1">
      <c r="A6" s="140"/>
      <c r="B6" s="141"/>
      <c r="C6" s="142"/>
      <c r="D6" s="142"/>
      <c r="E6" s="143"/>
    </row>
    <row r="7" spans="1:5" s="5" customFormat="1" ht="12.75">
      <c r="A7" s="1816" t="s">
        <v>334</v>
      </c>
      <c r="B7" s="1817"/>
      <c r="C7" s="145" t="s">
        <v>335</v>
      </c>
      <c r="D7" s="145" t="s">
        <v>336</v>
      </c>
      <c r="E7" s="1818" t="s">
        <v>337</v>
      </c>
    </row>
    <row r="8" spans="1:5" s="5" customFormat="1" ht="12.75">
      <c r="A8" s="1816"/>
      <c r="B8" s="1817"/>
      <c r="C8" s="145" t="s">
        <v>338</v>
      </c>
      <c r="D8" s="145" t="s">
        <v>338</v>
      </c>
      <c r="E8" s="1818"/>
    </row>
    <row r="9" spans="1:5" ht="4.5" customHeight="1" thickBot="1">
      <c r="A9" s="146"/>
      <c r="B9" s="147"/>
      <c r="C9" s="148"/>
      <c r="D9" s="148"/>
      <c r="E9" s="149"/>
    </row>
    <row r="10" spans="1:5" ht="13.5" customHeight="1" thickBot="1">
      <c r="A10" s="1821" t="s">
        <v>339</v>
      </c>
      <c r="B10" s="1822"/>
      <c r="C10" s="1822"/>
      <c r="D10" s="1822"/>
      <c r="E10" s="1823"/>
    </row>
    <row r="11" spans="1:5" s="6" customFormat="1" ht="15" customHeight="1">
      <c r="A11" s="144" t="s">
        <v>340</v>
      </c>
      <c r="B11" s="150" t="s">
        <v>754</v>
      </c>
      <c r="C11" s="151"/>
      <c r="D11" s="151"/>
      <c r="E11" s="152"/>
    </row>
    <row r="12" spans="1:5" s="6" customFormat="1" ht="11.25" customHeight="1">
      <c r="A12" s="144"/>
      <c r="B12" s="153" t="s">
        <v>864</v>
      </c>
      <c r="C12" s="154">
        <f>'3.mell'!D27</f>
        <v>55498</v>
      </c>
      <c r="D12" s="154">
        <v>0</v>
      </c>
      <c r="E12" s="155">
        <f>C12+D12</f>
        <v>55498</v>
      </c>
    </row>
    <row r="13" spans="1:5" s="6" customFormat="1" ht="11.25" customHeight="1">
      <c r="A13" s="144"/>
      <c r="B13" s="153" t="s">
        <v>865</v>
      </c>
      <c r="C13" s="154">
        <f>'3.mell'!D28-'3.mell'!D24</f>
        <v>52186</v>
      </c>
      <c r="D13" s="154">
        <v>0</v>
      </c>
      <c r="E13" s="155">
        <f aca="true" t="shared" si="0" ref="E13:E60">C13+D13</f>
        <v>52186</v>
      </c>
    </row>
    <row r="14" spans="1:5" s="6" customFormat="1" ht="11.25" customHeight="1">
      <c r="A14" s="144"/>
      <c r="B14" s="153" t="s">
        <v>866</v>
      </c>
      <c r="C14" s="154">
        <f>'3.mell'!D29-'3.mell'!D25</f>
        <v>54086</v>
      </c>
      <c r="D14" s="154">
        <v>0</v>
      </c>
      <c r="E14" s="155">
        <f t="shared" si="0"/>
        <v>54086</v>
      </c>
    </row>
    <row r="15" spans="1:5" s="6" customFormat="1" ht="11.25" customHeight="1">
      <c r="A15" s="144"/>
      <c r="B15" s="153" t="s">
        <v>778</v>
      </c>
      <c r="C15" s="154">
        <v>500338</v>
      </c>
      <c r="D15" s="154">
        <v>400</v>
      </c>
      <c r="E15" s="155">
        <f>D15+C15</f>
        <v>500738</v>
      </c>
    </row>
    <row r="16" spans="1:5" s="130" customFormat="1" ht="11.25" customHeight="1">
      <c r="A16" s="156"/>
      <c r="B16" s="157" t="s">
        <v>630</v>
      </c>
      <c r="C16" s="158"/>
      <c r="D16" s="158"/>
      <c r="E16" s="159"/>
    </row>
    <row r="17" spans="1:5" s="130" customFormat="1" ht="11.25" customHeight="1">
      <c r="A17" s="156"/>
      <c r="B17" s="160" t="s">
        <v>864</v>
      </c>
      <c r="C17" s="158">
        <f>'4.mell '!F32</f>
        <v>33100</v>
      </c>
      <c r="D17" s="158"/>
      <c r="E17" s="159">
        <f t="shared" si="0"/>
        <v>33100</v>
      </c>
    </row>
    <row r="18" spans="1:5" s="130" customFormat="1" ht="11.25" customHeight="1">
      <c r="A18" s="156"/>
      <c r="B18" s="160" t="s">
        <v>865</v>
      </c>
      <c r="C18" s="158">
        <f>'4.mell '!F33</f>
        <v>25636</v>
      </c>
      <c r="D18" s="158"/>
      <c r="E18" s="159">
        <f t="shared" si="0"/>
        <v>25636</v>
      </c>
    </row>
    <row r="19" spans="1:5" s="130" customFormat="1" ht="11.25" customHeight="1">
      <c r="A19" s="156"/>
      <c r="B19" s="160" t="s">
        <v>866</v>
      </c>
      <c r="C19" s="158">
        <f>'4.mell '!F34</f>
        <v>26058</v>
      </c>
      <c r="D19" s="158"/>
      <c r="E19" s="159">
        <f t="shared" si="0"/>
        <v>26058</v>
      </c>
    </row>
    <row r="20" spans="1:5" s="130" customFormat="1" ht="11.25" customHeight="1">
      <c r="A20" s="156"/>
      <c r="B20" s="153" t="s">
        <v>778</v>
      </c>
      <c r="C20" s="158">
        <v>32835</v>
      </c>
      <c r="D20" s="158"/>
      <c r="E20" s="159">
        <v>32835</v>
      </c>
    </row>
    <row r="21" spans="1:5" s="6" customFormat="1" ht="11.25" customHeight="1">
      <c r="A21" s="144" t="s">
        <v>341</v>
      </c>
      <c r="B21" s="161" t="s">
        <v>736</v>
      </c>
      <c r="C21" s="162"/>
      <c r="D21" s="162"/>
      <c r="E21" s="155"/>
    </row>
    <row r="22" spans="1:5" s="7" customFormat="1" ht="11.25" customHeight="1">
      <c r="A22" s="163" t="s">
        <v>316</v>
      </c>
      <c r="B22" s="164" t="s">
        <v>581</v>
      </c>
      <c r="C22" s="165"/>
      <c r="D22" s="165"/>
      <c r="E22" s="155">
        <f t="shared" si="0"/>
        <v>0</v>
      </c>
    </row>
    <row r="23" spans="1:5" s="7" customFormat="1" ht="11.25" customHeight="1">
      <c r="A23" s="163"/>
      <c r="B23" s="153" t="s">
        <v>864</v>
      </c>
      <c r="C23" s="165">
        <f>'3.mell'!D104</f>
        <v>958812</v>
      </c>
      <c r="D23" s="165"/>
      <c r="E23" s="155">
        <f t="shared" si="0"/>
        <v>958812</v>
      </c>
    </row>
    <row r="24" spans="1:5" s="7" customFormat="1" ht="11.25" customHeight="1">
      <c r="A24" s="163"/>
      <c r="B24" s="153" t="s">
        <v>865</v>
      </c>
      <c r="C24" s="165">
        <f>'3.mell'!D105</f>
        <v>964321</v>
      </c>
      <c r="D24" s="165"/>
      <c r="E24" s="155">
        <f t="shared" si="0"/>
        <v>964321</v>
      </c>
    </row>
    <row r="25" spans="1:5" s="7" customFormat="1" ht="11.25" customHeight="1">
      <c r="A25" s="163"/>
      <c r="B25" s="153" t="s">
        <v>866</v>
      </c>
      <c r="C25" s="165">
        <f>'3.mell'!D106</f>
        <v>1026236</v>
      </c>
      <c r="D25" s="165"/>
      <c r="E25" s="155">
        <f t="shared" si="0"/>
        <v>1026236</v>
      </c>
    </row>
    <row r="26" spans="1:5" s="7" customFormat="1" ht="11.25" customHeight="1">
      <c r="A26" s="163"/>
      <c r="B26" s="153" t="s">
        <v>778</v>
      </c>
      <c r="C26" s="165">
        <f>636990+314434</f>
        <v>951424</v>
      </c>
      <c r="D26" s="165">
        <v>50811</v>
      </c>
      <c r="E26" s="155">
        <f>C26+D26</f>
        <v>1002235</v>
      </c>
    </row>
    <row r="27" spans="1:5" s="55" customFormat="1" ht="11.25" customHeight="1">
      <c r="A27" s="166"/>
      <c r="B27" s="167" t="s">
        <v>629</v>
      </c>
      <c r="C27" s="168"/>
      <c r="D27" s="168"/>
      <c r="E27" s="159"/>
    </row>
    <row r="28" spans="1:5" s="55" customFormat="1" ht="11.25" customHeight="1">
      <c r="A28" s="166"/>
      <c r="B28" s="160" t="s">
        <v>864</v>
      </c>
      <c r="C28" s="168">
        <f>'3.mell'!D64</f>
        <v>512500</v>
      </c>
      <c r="D28" s="168"/>
      <c r="E28" s="159">
        <f t="shared" si="0"/>
        <v>512500</v>
      </c>
    </row>
    <row r="29" spans="1:5" s="55" customFormat="1" ht="11.25" customHeight="1">
      <c r="A29" s="166"/>
      <c r="B29" s="160" t="s">
        <v>865</v>
      </c>
      <c r="C29" s="168">
        <f>'3.mell'!D65</f>
        <v>512500</v>
      </c>
      <c r="D29" s="168"/>
      <c r="E29" s="159">
        <f t="shared" si="0"/>
        <v>512500</v>
      </c>
    </row>
    <row r="30" spans="1:5" s="55" customFormat="1" ht="11.25" customHeight="1">
      <c r="A30" s="166"/>
      <c r="B30" s="160" t="s">
        <v>866</v>
      </c>
      <c r="C30" s="168">
        <f>'3.mell'!D66</f>
        <v>557620</v>
      </c>
      <c r="D30" s="168"/>
      <c r="E30" s="159">
        <f t="shared" si="0"/>
        <v>557620</v>
      </c>
    </row>
    <row r="31" spans="1:5" s="55" customFormat="1" ht="11.25" customHeight="1">
      <c r="A31" s="166"/>
      <c r="B31" s="153" t="s">
        <v>778</v>
      </c>
      <c r="C31" s="168">
        <v>472956</v>
      </c>
      <c r="D31" s="168">
        <v>50811</v>
      </c>
      <c r="E31" s="159">
        <f>D31+C31</f>
        <v>523767</v>
      </c>
    </row>
    <row r="32" spans="1:5" s="7" customFormat="1" ht="11.25" customHeight="1">
      <c r="A32" s="163" t="s">
        <v>318</v>
      </c>
      <c r="B32" s="169" t="s">
        <v>317</v>
      </c>
      <c r="C32" s="170"/>
      <c r="D32" s="170"/>
      <c r="E32" s="155"/>
    </row>
    <row r="33" spans="1:5" s="7" customFormat="1" ht="11.25" customHeight="1">
      <c r="A33" s="163"/>
      <c r="B33" s="153" t="s">
        <v>864</v>
      </c>
      <c r="C33" s="170">
        <f>'3.mell'!D186</f>
        <v>84304</v>
      </c>
      <c r="D33" s="170"/>
      <c r="E33" s="155">
        <f t="shared" si="0"/>
        <v>84304</v>
      </c>
    </row>
    <row r="34" spans="1:5" s="7" customFormat="1" ht="11.25" customHeight="1">
      <c r="A34" s="163"/>
      <c r="B34" s="153" t="s">
        <v>865</v>
      </c>
      <c r="C34" s="170">
        <f>'3.mell'!D187</f>
        <v>186414</v>
      </c>
      <c r="D34" s="170">
        <f>'3.mell'!E187</f>
        <v>14414</v>
      </c>
      <c r="E34" s="155">
        <f t="shared" si="0"/>
        <v>200828</v>
      </c>
    </row>
    <row r="35" spans="1:5" s="7" customFormat="1" ht="11.25" customHeight="1">
      <c r="A35" s="163"/>
      <c r="B35" s="153" t="s">
        <v>866</v>
      </c>
      <c r="C35" s="170">
        <f>'3.mell'!D188</f>
        <v>212255</v>
      </c>
      <c r="D35" s="170">
        <f>'3.mell'!E188</f>
        <v>17031</v>
      </c>
      <c r="E35" s="155">
        <f t="shared" si="0"/>
        <v>229286</v>
      </c>
    </row>
    <row r="36" spans="1:5" s="7" customFormat="1" ht="11.25" customHeight="1">
      <c r="A36" s="163"/>
      <c r="B36" s="153" t="s">
        <v>778</v>
      </c>
      <c r="C36" s="170">
        <f>19096+165637</f>
        <v>184733</v>
      </c>
      <c r="D36" s="170">
        <v>8137</v>
      </c>
      <c r="E36" s="155">
        <f>C36+D36</f>
        <v>192870</v>
      </c>
    </row>
    <row r="37" spans="1:5" s="7" customFormat="1" ht="11.25" customHeight="1">
      <c r="A37" s="163" t="s">
        <v>319</v>
      </c>
      <c r="B37" s="169" t="s">
        <v>448</v>
      </c>
      <c r="C37" s="170"/>
      <c r="D37" s="170"/>
      <c r="E37" s="155"/>
    </row>
    <row r="38" spans="1:5" s="7" customFormat="1" ht="11.25" customHeight="1">
      <c r="A38" s="163"/>
      <c r="B38" s="153" t="s">
        <v>864</v>
      </c>
      <c r="C38" s="170">
        <f>'3.mell'!D324</f>
        <v>267590</v>
      </c>
      <c r="D38" s="170">
        <f>'3.mell'!E324</f>
        <v>908149</v>
      </c>
      <c r="E38" s="155">
        <f t="shared" si="0"/>
        <v>1175739</v>
      </c>
    </row>
    <row r="39" spans="1:5" s="7" customFormat="1" ht="11.25" customHeight="1">
      <c r="A39" s="163"/>
      <c r="B39" s="153" t="s">
        <v>865</v>
      </c>
      <c r="C39" s="170">
        <f>'3.mell'!D325</f>
        <v>192700</v>
      </c>
      <c r="D39" s="170">
        <f>'3.mell'!E325</f>
        <v>944191</v>
      </c>
      <c r="E39" s="155">
        <f t="shared" si="0"/>
        <v>1136891</v>
      </c>
    </row>
    <row r="40" spans="1:5" s="7" customFormat="1" ht="11.25" customHeight="1">
      <c r="A40" s="163"/>
      <c r="B40" s="153" t="s">
        <v>866</v>
      </c>
      <c r="C40" s="170">
        <f>'3.mell'!D326</f>
        <v>140118</v>
      </c>
      <c r="D40" s="170">
        <f>'3.mell'!E326</f>
        <v>623272</v>
      </c>
      <c r="E40" s="155">
        <f t="shared" si="0"/>
        <v>763390</v>
      </c>
    </row>
    <row r="41" spans="1:5" s="7" customFormat="1" ht="11.25" customHeight="1">
      <c r="A41" s="163"/>
      <c r="B41" s="153" t="s">
        <v>778</v>
      </c>
      <c r="C41" s="170">
        <v>71231</v>
      </c>
      <c r="D41" s="170">
        <v>140266</v>
      </c>
      <c r="E41" s="155">
        <f>D41+C41</f>
        <v>211497</v>
      </c>
    </row>
    <row r="42" spans="1:5" s="7" customFormat="1" ht="11.25" customHeight="1">
      <c r="A42" s="163" t="s">
        <v>321</v>
      </c>
      <c r="B42" s="169" t="s">
        <v>618</v>
      </c>
      <c r="C42" s="170"/>
      <c r="D42" s="170"/>
      <c r="E42" s="155"/>
    </row>
    <row r="43" spans="1:5" s="7" customFormat="1" ht="11.25" customHeight="1">
      <c r="A43" s="163"/>
      <c r="B43" s="153" t="s">
        <v>864</v>
      </c>
      <c r="C43" s="170">
        <v>0</v>
      </c>
      <c r="D43" s="170">
        <v>0</v>
      </c>
      <c r="E43" s="155">
        <f t="shared" si="0"/>
        <v>0</v>
      </c>
    </row>
    <row r="44" spans="1:5" s="7" customFormat="1" ht="11.25" customHeight="1">
      <c r="A44" s="163"/>
      <c r="B44" s="153" t="s">
        <v>865</v>
      </c>
      <c r="C44" s="170">
        <f>'3.mell'!D356</f>
        <v>2576</v>
      </c>
      <c r="D44" s="170">
        <f>'3.mell'!E356</f>
        <v>210</v>
      </c>
      <c r="E44" s="155">
        <f t="shared" si="0"/>
        <v>2786</v>
      </c>
    </row>
    <row r="45" spans="1:5" s="7" customFormat="1" ht="11.25" customHeight="1">
      <c r="A45" s="163"/>
      <c r="B45" s="153" t="s">
        <v>866</v>
      </c>
      <c r="C45" s="170">
        <f>'3.mell'!D357</f>
        <v>2882</v>
      </c>
      <c r="D45" s="170">
        <f>'3.mell'!E357</f>
        <v>486</v>
      </c>
      <c r="E45" s="155">
        <f>C45+D45</f>
        <v>3368</v>
      </c>
    </row>
    <row r="46" spans="1:5" s="7" customFormat="1" ht="11.25" customHeight="1">
      <c r="A46" s="163"/>
      <c r="B46" s="153" t="s">
        <v>778</v>
      </c>
      <c r="C46" s="170">
        <v>581</v>
      </c>
      <c r="D46" s="170">
        <v>4142</v>
      </c>
      <c r="E46" s="155">
        <f>D46+C46</f>
        <v>4723</v>
      </c>
    </row>
    <row r="47" spans="1:5" s="7" customFormat="1" ht="11.25" customHeight="1">
      <c r="A47" s="163" t="s">
        <v>322</v>
      </c>
      <c r="B47" s="169" t="s">
        <v>621</v>
      </c>
      <c r="C47" s="170"/>
      <c r="D47" s="170"/>
      <c r="E47" s="155"/>
    </row>
    <row r="48" spans="1:5" s="7" customFormat="1" ht="11.25" customHeight="1">
      <c r="A48" s="163"/>
      <c r="B48" s="153" t="s">
        <v>864</v>
      </c>
      <c r="C48" s="170">
        <v>0</v>
      </c>
      <c r="D48" s="170">
        <f>'3.mell'!F382</f>
        <v>45573</v>
      </c>
      <c r="E48" s="155">
        <f t="shared" si="0"/>
        <v>45573</v>
      </c>
    </row>
    <row r="49" spans="1:5" s="7" customFormat="1" ht="11.25" customHeight="1">
      <c r="A49" s="163"/>
      <c r="B49" s="153" t="s">
        <v>865</v>
      </c>
      <c r="C49" s="170">
        <v>0</v>
      </c>
      <c r="D49" s="170">
        <f>'3.mell'!F383</f>
        <v>56795</v>
      </c>
      <c r="E49" s="155">
        <f t="shared" si="0"/>
        <v>56795</v>
      </c>
    </row>
    <row r="50" spans="1:5" s="7" customFormat="1" ht="11.25" customHeight="1">
      <c r="A50" s="163"/>
      <c r="B50" s="153" t="s">
        <v>866</v>
      </c>
      <c r="C50" s="170">
        <v>0</v>
      </c>
      <c r="D50" s="170">
        <f>'3.mell'!F384</f>
        <v>52550</v>
      </c>
      <c r="E50" s="155">
        <f t="shared" si="0"/>
        <v>52550</v>
      </c>
    </row>
    <row r="51" spans="1:5" s="7" customFormat="1" ht="11.25" customHeight="1">
      <c r="A51" s="163"/>
      <c r="B51" s="153" t="s">
        <v>778</v>
      </c>
      <c r="C51" s="170">
        <v>0</v>
      </c>
      <c r="D51" s="170">
        <v>7885</v>
      </c>
      <c r="E51" s="155">
        <f>D51</f>
        <v>7885</v>
      </c>
    </row>
    <row r="52" spans="1:5" s="7" customFormat="1" ht="11.25" customHeight="1">
      <c r="A52" s="163" t="s">
        <v>323</v>
      </c>
      <c r="B52" s="169" t="s">
        <v>635</v>
      </c>
      <c r="C52" s="170"/>
      <c r="D52" s="170"/>
      <c r="E52" s="155"/>
    </row>
    <row r="53" spans="1:5" s="7" customFormat="1" ht="11.25" customHeight="1">
      <c r="A53" s="163"/>
      <c r="B53" s="153" t="s">
        <v>864</v>
      </c>
      <c r="C53" s="170">
        <f>'3.mell'!D411</f>
        <v>5091</v>
      </c>
      <c r="D53" s="170">
        <f>'3.mell'!E411</f>
        <v>26270</v>
      </c>
      <c r="E53" s="171">
        <f t="shared" si="0"/>
        <v>31361</v>
      </c>
    </row>
    <row r="54" spans="1:5" s="7" customFormat="1" ht="11.25" customHeight="1">
      <c r="A54" s="163"/>
      <c r="B54" s="153" t="s">
        <v>865</v>
      </c>
      <c r="C54" s="170">
        <f>'3.mell'!D412</f>
        <v>5091</v>
      </c>
      <c r="D54" s="170">
        <f>'3.mell'!E412</f>
        <v>26270</v>
      </c>
      <c r="E54" s="155">
        <f t="shared" si="0"/>
        <v>31361</v>
      </c>
    </row>
    <row r="55" spans="1:5" s="7" customFormat="1" ht="11.25" customHeight="1">
      <c r="A55" s="163"/>
      <c r="B55" s="153" t="s">
        <v>866</v>
      </c>
      <c r="C55" s="170">
        <f>'3.mell'!D413</f>
        <v>5099</v>
      </c>
      <c r="D55" s="170">
        <f>'3.mell'!E413</f>
        <v>3008</v>
      </c>
      <c r="E55" s="155">
        <f t="shared" si="0"/>
        <v>8107</v>
      </c>
    </row>
    <row r="56" spans="1:5" s="7" customFormat="1" ht="11.25" customHeight="1">
      <c r="A56" s="163"/>
      <c r="B56" s="153" t="s">
        <v>778</v>
      </c>
      <c r="C56" s="170">
        <v>2246</v>
      </c>
      <c r="D56" s="170">
        <v>18636</v>
      </c>
      <c r="E56" s="155">
        <f>C56+D56</f>
        <v>20882</v>
      </c>
    </row>
    <row r="57" spans="1:5" s="7" customFormat="1" ht="11.25" customHeight="1">
      <c r="A57" s="163" t="s">
        <v>324</v>
      </c>
      <c r="B57" s="169" t="s">
        <v>622</v>
      </c>
      <c r="C57" s="170"/>
      <c r="D57" s="170"/>
      <c r="E57" s="155"/>
    </row>
    <row r="58" spans="1:5" s="7" customFormat="1" ht="11.25" customHeight="1">
      <c r="A58" s="163"/>
      <c r="B58" s="153" t="s">
        <v>864</v>
      </c>
      <c r="C58" s="172">
        <f>'3.mell'!D514</f>
        <v>223539</v>
      </c>
      <c r="D58" s="172">
        <f>'3.mell'!E514</f>
        <v>0</v>
      </c>
      <c r="E58" s="155">
        <f t="shared" si="0"/>
        <v>223539</v>
      </c>
    </row>
    <row r="59" spans="1:5" s="7" customFormat="1" ht="11.25" customHeight="1">
      <c r="A59" s="163"/>
      <c r="B59" s="153" t="s">
        <v>865</v>
      </c>
      <c r="C59" s="170">
        <f>'3.mell'!D515</f>
        <v>349432</v>
      </c>
      <c r="D59" s="170">
        <f>'3.mell'!E515</f>
        <v>40339</v>
      </c>
      <c r="E59" s="155">
        <f t="shared" si="0"/>
        <v>389771</v>
      </c>
    </row>
    <row r="60" spans="1:5" s="7" customFormat="1" ht="11.25" customHeight="1">
      <c r="A60" s="163"/>
      <c r="B60" s="153" t="s">
        <v>866</v>
      </c>
      <c r="C60" s="172">
        <f>'3.mell'!D516</f>
        <v>349432</v>
      </c>
      <c r="D60" s="172">
        <f>'3.mell'!E516</f>
        <v>40339</v>
      </c>
      <c r="E60" s="155">
        <f t="shared" si="0"/>
        <v>389771</v>
      </c>
    </row>
    <row r="61" spans="1:5" s="7" customFormat="1" ht="11.25" customHeight="1" thickBot="1">
      <c r="A61" s="163"/>
      <c r="B61" s="153" t="s">
        <v>778</v>
      </c>
      <c r="C61" s="1676">
        <v>537488</v>
      </c>
      <c r="D61" s="1676">
        <v>4433</v>
      </c>
      <c r="E61" s="202">
        <f>D61+C61</f>
        <v>541921</v>
      </c>
    </row>
    <row r="62" spans="1:5" s="8" customFormat="1" ht="14.25" customHeight="1" thickTop="1">
      <c r="A62" s="1830" t="s">
        <v>707</v>
      </c>
      <c r="B62" s="1831"/>
      <c r="C62" s="174"/>
      <c r="D62" s="174"/>
      <c r="E62" s="175"/>
    </row>
    <row r="63" spans="1:5" s="8" customFormat="1" ht="11.25" customHeight="1">
      <c r="A63" s="176"/>
      <c r="B63" s="177" t="s">
        <v>864</v>
      </c>
      <c r="C63" s="178">
        <f aca="true" t="shared" si="1" ref="C63:E65">C23+C33+C38+C43+C48+C53+C58</f>
        <v>1539336</v>
      </c>
      <c r="D63" s="178">
        <f t="shared" si="1"/>
        <v>979992</v>
      </c>
      <c r="E63" s="179">
        <f t="shared" si="1"/>
        <v>2519328</v>
      </c>
    </row>
    <row r="64" spans="1:5" s="8" customFormat="1" ht="11.25" customHeight="1">
      <c r="A64" s="180"/>
      <c r="B64" s="153" t="s">
        <v>865</v>
      </c>
      <c r="C64" s="181">
        <f t="shared" si="1"/>
        <v>1700534</v>
      </c>
      <c r="D64" s="181">
        <f t="shared" si="1"/>
        <v>1082219</v>
      </c>
      <c r="E64" s="182">
        <f t="shared" si="1"/>
        <v>2782753</v>
      </c>
    </row>
    <row r="65" spans="1:5" s="8" customFormat="1" ht="11.25" customHeight="1">
      <c r="A65" s="223"/>
      <c r="B65" s="153" t="s">
        <v>866</v>
      </c>
      <c r="C65" s="226">
        <f t="shared" si="1"/>
        <v>1736022</v>
      </c>
      <c r="D65" s="226">
        <f t="shared" si="1"/>
        <v>736686</v>
      </c>
      <c r="E65" s="239">
        <f t="shared" si="1"/>
        <v>2472708</v>
      </c>
    </row>
    <row r="66" spans="1:5" s="8" customFormat="1" ht="11.25" customHeight="1" thickBot="1">
      <c r="A66" s="1675"/>
      <c r="B66" s="153" t="s">
        <v>778</v>
      </c>
      <c r="C66" s="1671">
        <f>C26+C36+C41+C46+C51+C56+C61</f>
        <v>1747703</v>
      </c>
      <c r="D66" s="1671">
        <f>D26+D36+D41+D46+D51+D56+D61</f>
        <v>234310</v>
      </c>
      <c r="E66" s="236">
        <f>D66+C66</f>
        <v>1982013</v>
      </c>
    </row>
    <row r="67" spans="1:7" s="9" customFormat="1" ht="14.25" customHeight="1" thickTop="1">
      <c r="A67" s="1832" t="s">
        <v>869</v>
      </c>
      <c r="B67" s="1833"/>
      <c r="C67" s="184"/>
      <c r="D67" s="184"/>
      <c r="E67" s="185"/>
      <c r="F67" s="91"/>
      <c r="G67" s="91"/>
    </row>
    <row r="68" spans="1:7" s="9" customFormat="1" ht="11.25" customHeight="1">
      <c r="A68" s="186"/>
      <c r="B68" s="187" t="s">
        <v>864</v>
      </c>
      <c r="C68" s="108">
        <f aca="true" t="shared" si="2" ref="C68:E70">C63+C12</f>
        <v>1594834</v>
      </c>
      <c r="D68" s="108">
        <f t="shared" si="2"/>
        <v>979992</v>
      </c>
      <c r="E68" s="188">
        <f t="shared" si="2"/>
        <v>2574826</v>
      </c>
      <c r="F68" s="91"/>
      <c r="G68" s="91"/>
    </row>
    <row r="69" spans="1:7" s="9" customFormat="1" ht="11.25" customHeight="1">
      <c r="A69" s="189"/>
      <c r="B69" s="153" t="s">
        <v>865</v>
      </c>
      <c r="C69" s="115">
        <f t="shared" si="2"/>
        <v>1752720</v>
      </c>
      <c r="D69" s="115">
        <f t="shared" si="2"/>
        <v>1082219</v>
      </c>
      <c r="E69" s="190">
        <f t="shared" si="2"/>
        <v>2834939</v>
      </c>
      <c r="F69" s="91"/>
      <c r="G69" s="91"/>
    </row>
    <row r="70" spans="1:7" s="9" customFormat="1" ht="11.25" customHeight="1">
      <c r="A70" s="186"/>
      <c r="B70" s="153" t="s">
        <v>866</v>
      </c>
      <c r="C70" s="108">
        <f t="shared" si="2"/>
        <v>1790108</v>
      </c>
      <c r="D70" s="108">
        <f t="shared" si="2"/>
        <v>736686</v>
      </c>
      <c r="E70" s="188">
        <f t="shared" si="2"/>
        <v>2526794</v>
      </c>
      <c r="F70" s="91"/>
      <c r="G70" s="91"/>
    </row>
    <row r="71" spans="1:7" s="9" customFormat="1" ht="11.25" customHeight="1" thickBot="1">
      <c r="A71" s="1684"/>
      <c r="B71" s="201" t="s">
        <v>778</v>
      </c>
      <c r="C71" s="704">
        <f>C66+C15</f>
        <v>2248041</v>
      </c>
      <c r="D71" s="704">
        <f>D66+D15</f>
        <v>234710</v>
      </c>
      <c r="E71" s="1685">
        <f>D71+C71</f>
        <v>2482751</v>
      </c>
      <c r="F71" s="91"/>
      <c r="G71" s="91"/>
    </row>
    <row r="72" spans="1:7" s="9" customFormat="1" ht="14.25" customHeight="1" thickBot="1" thickTop="1">
      <c r="A72" s="191" t="s">
        <v>353</v>
      </c>
      <c r="B72" s="192" t="s">
        <v>816</v>
      </c>
      <c r="C72" s="193"/>
      <c r="D72" s="193"/>
      <c r="E72" s="194"/>
      <c r="F72" s="91"/>
      <c r="G72" s="91"/>
    </row>
    <row r="73" spans="1:7" s="9" customFormat="1" ht="11.25" customHeight="1" thickTop="1">
      <c r="A73" s="195"/>
      <c r="B73" s="153" t="s">
        <v>864</v>
      </c>
      <c r="C73" s="196">
        <v>0</v>
      </c>
      <c r="D73" s="196">
        <v>0</v>
      </c>
      <c r="E73" s="197">
        <v>0</v>
      </c>
      <c r="F73" s="91"/>
      <c r="G73" s="91"/>
    </row>
    <row r="74" spans="1:7" s="9" customFormat="1" ht="11.25" customHeight="1">
      <c r="A74" s="198"/>
      <c r="B74" s="153" t="s">
        <v>865</v>
      </c>
      <c r="C74" s="115">
        <f>'3.mell'!D528</f>
        <v>30290</v>
      </c>
      <c r="D74" s="115">
        <v>0</v>
      </c>
      <c r="E74" s="171">
        <f>C74</f>
        <v>30290</v>
      </c>
      <c r="F74" s="91"/>
      <c r="G74" s="91"/>
    </row>
    <row r="75" spans="1:7" s="9" customFormat="1" ht="11.25" customHeight="1">
      <c r="A75" s="144"/>
      <c r="B75" s="153" t="s">
        <v>866</v>
      </c>
      <c r="C75" s="108">
        <f>'3.mell'!D529</f>
        <v>0</v>
      </c>
      <c r="D75" s="108">
        <v>0</v>
      </c>
      <c r="E75" s="202">
        <f>D75+C75</f>
        <v>0</v>
      </c>
      <c r="F75" s="91"/>
      <c r="G75" s="91"/>
    </row>
    <row r="76" spans="1:7" s="9" customFormat="1" ht="11.25" customHeight="1" thickBot="1">
      <c r="A76" s="1686"/>
      <c r="B76" s="520" t="s">
        <v>778</v>
      </c>
      <c r="C76" s="704">
        <v>31403</v>
      </c>
      <c r="D76" s="704">
        <v>0</v>
      </c>
      <c r="E76" s="1687">
        <v>31403</v>
      </c>
      <c r="F76" s="91"/>
      <c r="G76" s="91"/>
    </row>
    <row r="77" spans="1:7" s="9" customFormat="1" ht="29.25" customHeight="1" thickBot="1" thickTop="1">
      <c r="A77" s="191" t="s">
        <v>376</v>
      </c>
      <c r="B77" s="192" t="s">
        <v>813</v>
      </c>
      <c r="C77" s="193"/>
      <c r="D77" s="193"/>
      <c r="E77" s="199"/>
      <c r="G77" s="91"/>
    </row>
    <row r="78" spans="1:5" s="9" customFormat="1" ht="11.25" customHeight="1" thickTop="1">
      <c r="A78" s="195"/>
      <c r="B78" s="153" t="s">
        <v>864</v>
      </c>
      <c r="C78" s="196">
        <v>0</v>
      </c>
      <c r="D78" s="196">
        <v>1113533</v>
      </c>
      <c r="E78" s="197">
        <v>1113533</v>
      </c>
    </row>
    <row r="79" spans="1:5" s="9" customFormat="1" ht="11.25" customHeight="1">
      <c r="A79" s="198"/>
      <c r="B79" s="153" t="s">
        <v>865</v>
      </c>
      <c r="C79" s="115">
        <f>'3.mell'!D536+'3.mell'!D544+'3.mell'!D24</f>
        <v>61008</v>
      </c>
      <c r="D79" s="115">
        <f>'3.mell'!E536+'3.mell'!E24</f>
        <v>142112</v>
      </c>
      <c r="E79" s="171">
        <f>C79+D79</f>
        <v>203120</v>
      </c>
    </row>
    <row r="80" spans="1:8" s="9" customFormat="1" ht="11.25" customHeight="1">
      <c r="A80" s="144"/>
      <c r="B80" s="153" t="s">
        <v>866</v>
      </c>
      <c r="C80" s="108">
        <f>'3.mell'!D537+'3.mell'!D545+'4.mell '!J39+'4.mell '!J34</f>
        <v>59110</v>
      </c>
      <c r="D80" s="108">
        <f>'3.mell'!E537+'4.mell '!K34+'4.mell '!K39</f>
        <v>119870</v>
      </c>
      <c r="E80" s="202">
        <f>C80+D80</f>
        <v>178980</v>
      </c>
      <c r="F80" s="91"/>
      <c r="G80" s="91"/>
      <c r="H80" s="91"/>
    </row>
    <row r="81" spans="1:8" s="9" customFormat="1" ht="11.25" customHeight="1" thickBot="1">
      <c r="A81" s="1686"/>
      <c r="B81" s="153" t="s">
        <v>778</v>
      </c>
      <c r="C81" s="704">
        <v>40101</v>
      </c>
      <c r="D81" s="704">
        <v>53267</v>
      </c>
      <c r="E81" s="1687">
        <f>C81+D81</f>
        <v>93368</v>
      </c>
      <c r="F81" s="91"/>
      <c r="G81" s="91"/>
      <c r="H81" s="91"/>
    </row>
    <row r="82" spans="1:8" s="9" customFormat="1" ht="14.25" customHeight="1" thickBot="1" thickTop="1">
      <c r="A82" s="191" t="s">
        <v>406</v>
      </c>
      <c r="B82" s="192" t="s">
        <v>814</v>
      </c>
      <c r="C82" s="193"/>
      <c r="D82" s="193"/>
      <c r="E82" s="199"/>
      <c r="F82" s="91"/>
      <c r="G82" s="91"/>
      <c r="H82" s="91"/>
    </row>
    <row r="83" spans="1:8" s="9" customFormat="1" ht="11.25" customHeight="1" thickTop="1">
      <c r="A83" s="195"/>
      <c r="B83" s="200" t="s">
        <v>864</v>
      </c>
      <c r="C83" s="196">
        <v>0</v>
      </c>
      <c r="D83" s="196">
        <v>0</v>
      </c>
      <c r="E83" s="197">
        <f>D83+C83</f>
        <v>0</v>
      </c>
      <c r="F83" s="91"/>
      <c r="G83" s="91"/>
      <c r="H83" s="91"/>
    </row>
    <row r="84" spans="1:8" s="9" customFormat="1" ht="11.25" customHeight="1">
      <c r="A84" s="144"/>
      <c r="B84" s="153" t="s">
        <v>865</v>
      </c>
      <c r="C84" s="115">
        <f>'3.mell'!D540</f>
        <v>17185</v>
      </c>
      <c r="D84" s="115">
        <f>'3.mell'!E540</f>
        <v>969754</v>
      </c>
      <c r="E84" s="190">
        <f>D84+C84</f>
        <v>986939</v>
      </c>
      <c r="F84" s="91"/>
      <c r="G84" s="91"/>
      <c r="H84" s="91"/>
    </row>
    <row r="85" spans="1:8" s="9" customFormat="1" ht="11.25" customHeight="1">
      <c r="A85" s="144"/>
      <c r="B85" s="290" t="s">
        <v>866</v>
      </c>
      <c r="C85" s="108">
        <f>'3.mell'!D541</f>
        <v>0</v>
      </c>
      <c r="D85" s="108">
        <f>'3.mell'!E541</f>
        <v>0</v>
      </c>
      <c r="E85" s="202">
        <f>D85+C85</f>
        <v>0</v>
      </c>
      <c r="F85" s="91"/>
      <c r="G85" s="91"/>
      <c r="H85" s="91"/>
    </row>
    <row r="86" spans="1:8" s="9" customFormat="1" ht="11.25" customHeight="1" thickBot="1">
      <c r="A86" s="1690"/>
      <c r="B86" s="258" t="s">
        <v>778</v>
      </c>
      <c r="C86" s="1688">
        <v>0</v>
      </c>
      <c r="D86" s="1688">
        <v>0</v>
      </c>
      <c r="E86" s="1689">
        <v>0</v>
      </c>
      <c r="F86" s="91"/>
      <c r="G86" s="91"/>
      <c r="H86" s="91"/>
    </row>
    <row r="87" spans="1:8" s="5" customFormat="1" ht="13.5" thickBot="1">
      <c r="A87" s="1824" t="s">
        <v>334</v>
      </c>
      <c r="B87" s="1825"/>
      <c r="C87" s="262" t="s">
        <v>335</v>
      </c>
      <c r="D87" s="262" t="s">
        <v>336</v>
      </c>
      <c r="E87" s="1828" t="s">
        <v>337</v>
      </c>
      <c r="F87" s="101"/>
      <c r="H87" s="101"/>
    </row>
    <row r="88" spans="1:5" s="5" customFormat="1" ht="12.75">
      <c r="A88" s="1826"/>
      <c r="B88" s="1827"/>
      <c r="C88" s="263" t="s">
        <v>338</v>
      </c>
      <c r="D88" s="263" t="s">
        <v>338</v>
      </c>
      <c r="E88" s="1829"/>
    </row>
    <row r="89" spans="1:5" ht="4.5" customHeight="1" thickBot="1">
      <c r="A89" s="146"/>
      <c r="B89" s="203"/>
      <c r="C89" s="148"/>
      <c r="D89" s="148"/>
      <c r="E89" s="149"/>
    </row>
    <row r="90" spans="1:5" ht="13.5" customHeight="1" thickBot="1">
      <c r="A90" s="1821" t="s">
        <v>342</v>
      </c>
      <c r="B90" s="1822"/>
      <c r="C90" s="1822"/>
      <c r="D90" s="1822"/>
      <c r="E90" s="1823"/>
    </row>
    <row r="91" spans="1:5" s="6" customFormat="1" ht="11.25" customHeight="1">
      <c r="A91" s="144" t="s">
        <v>340</v>
      </c>
      <c r="B91" s="204" t="s">
        <v>640</v>
      </c>
      <c r="C91" s="205"/>
      <c r="D91" s="206"/>
      <c r="E91" s="207"/>
    </row>
    <row r="92" spans="1:5" s="7" customFormat="1" ht="13.5" customHeight="1">
      <c r="A92" s="163" t="s">
        <v>316</v>
      </c>
      <c r="B92" s="164" t="s">
        <v>330</v>
      </c>
      <c r="C92" s="165"/>
      <c r="D92" s="208"/>
      <c r="E92" s="209"/>
    </row>
    <row r="93" spans="1:5" s="7" customFormat="1" ht="13.5" customHeight="1">
      <c r="A93" s="163"/>
      <c r="B93" s="153" t="s">
        <v>864</v>
      </c>
      <c r="C93" s="165">
        <f>'5.mell'!E630</f>
        <v>449887</v>
      </c>
      <c r="D93" s="208"/>
      <c r="E93" s="209">
        <f>C93</f>
        <v>449887</v>
      </c>
    </row>
    <row r="94" spans="1:5" s="7" customFormat="1" ht="13.5" customHeight="1">
      <c r="A94" s="163"/>
      <c r="B94" s="153" t="s">
        <v>865</v>
      </c>
      <c r="C94" s="165">
        <f>'5.mell'!E631</f>
        <v>455784</v>
      </c>
      <c r="D94" s="208"/>
      <c r="E94" s="209">
        <f aca="true" t="shared" si="3" ref="E94:E125">C94</f>
        <v>455784</v>
      </c>
    </row>
    <row r="95" spans="1:5" s="7" customFormat="1" ht="13.5" customHeight="1">
      <c r="A95" s="163"/>
      <c r="B95" s="153" t="s">
        <v>866</v>
      </c>
      <c r="C95" s="165">
        <f>'5.mell'!E632</f>
        <v>421197</v>
      </c>
      <c r="D95" s="208"/>
      <c r="E95" s="209">
        <f t="shared" si="3"/>
        <v>421197</v>
      </c>
    </row>
    <row r="96" spans="1:5" s="7" customFormat="1" ht="13.5" customHeight="1">
      <c r="A96" s="163"/>
      <c r="B96" s="153" t="s">
        <v>778</v>
      </c>
      <c r="C96" s="165">
        <v>584178</v>
      </c>
      <c r="D96" s="208"/>
      <c r="E96" s="209">
        <v>584178</v>
      </c>
    </row>
    <row r="97" spans="1:5" s="7" customFormat="1" ht="13.5" customHeight="1">
      <c r="A97" s="163" t="s">
        <v>318</v>
      </c>
      <c r="B97" s="169" t="s">
        <v>636</v>
      </c>
      <c r="C97" s="165"/>
      <c r="D97" s="210"/>
      <c r="E97" s="209"/>
    </row>
    <row r="98" spans="1:5" s="7" customFormat="1" ht="13.5" customHeight="1">
      <c r="A98" s="163"/>
      <c r="B98" s="153" t="s">
        <v>864</v>
      </c>
      <c r="C98" s="165">
        <f>'5.mell'!F630</f>
        <v>108597</v>
      </c>
      <c r="D98" s="210"/>
      <c r="E98" s="209">
        <f t="shared" si="3"/>
        <v>108597</v>
      </c>
    </row>
    <row r="99" spans="1:5" s="7" customFormat="1" ht="13.5" customHeight="1">
      <c r="A99" s="163"/>
      <c r="B99" s="153" t="s">
        <v>865</v>
      </c>
      <c r="C99" s="165">
        <f>'5.mell'!F631</f>
        <v>111897</v>
      </c>
      <c r="D99" s="210"/>
      <c r="E99" s="209">
        <f t="shared" si="3"/>
        <v>111897</v>
      </c>
    </row>
    <row r="100" spans="1:5" s="7" customFormat="1" ht="13.5" customHeight="1">
      <c r="A100" s="163"/>
      <c r="B100" s="153" t="s">
        <v>866</v>
      </c>
      <c r="C100" s="165">
        <f>'5.mell'!F632</f>
        <v>103246</v>
      </c>
      <c r="D100" s="210"/>
      <c r="E100" s="209">
        <f t="shared" si="3"/>
        <v>103246</v>
      </c>
    </row>
    <row r="101" spans="1:5" s="7" customFormat="1" ht="13.5" customHeight="1">
      <c r="A101" s="163"/>
      <c r="B101" s="153" t="s">
        <v>778</v>
      </c>
      <c r="C101" s="165">
        <v>147881</v>
      </c>
      <c r="D101" s="210"/>
      <c r="E101" s="209">
        <v>147881</v>
      </c>
    </row>
    <row r="102" spans="1:5" s="7" customFormat="1" ht="13.5" customHeight="1">
      <c r="A102" s="163" t="s">
        <v>319</v>
      </c>
      <c r="B102" s="169" t="s">
        <v>331</v>
      </c>
      <c r="C102" s="165"/>
      <c r="D102" s="210"/>
      <c r="E102" s="209"/>
    </row>
    <row r="103" spans="1:5" s="7" customFormat="1" ht="13.5" customHeight="1">
      <c r="A103" s="163"/>
      <c r="B103" s="153" t="s">
        <v>864</v>
      </c>
      <c r="C103" s="165">
        <f>'5.mell'!G630</f>
        <v>443431</v>
      </c>
      <c r="D103" s="210"/>
      <c r="E103" s="209">
        <f t="shared" si="3"/>
        <v>443431</v>
      </c>
    </row>
    <row r="104" spans="1:5" s="7" customFormat="1" ht="13.5" customHeight="1">
      <c r="A104" s="163"/>
      <c r="B104" s="153" t="s">
        <v>865</v>
      </c>
      <c r="C104" s="165">
        <f>'5.mell'!G631-'5.mell'!G619</f>
        <v>604531</v>
      </c>
      <c r="D104" s="210"/>
      <c r="E104" s="209">
        <f t="shared" si="3"/>
        <v>604531</v>
      </c>
    </row>
    <row r="105" spans="1:5" s="7" customFormat="1" ht="13.5" customHeight="1">
      <c r="A105" s="163"/>
      <c r="B105" s="153" t="s">
        <v>866</v>
      </c>
      <c r="C105" s="165">
        <f>'5.mell'!G632-'5.mell'!G620</f>
        <v>502851</v>
      </c>
      <c r="D105" s="210"/>
      <c r="E105" s="209">
        <f t="shared" si="3"/>
        <v>502851</v>
      </c>
    </row>
    <row r="106" spans="1:5" s="7" customFormat="1" ht="13.5" customHeight="1">
      <c r="A106" s="163"/>
      <c r="B106" s="153" t="s">
        <v>778</v>
      </c>
      <c r="C106" s="165">
        <v>459569</v>
      </c>
      <c r="D106" s="210"/>
      <c r="E106" s="209"/>
    </row>
    <row r="107" spans="1:5" s="7" customFormat="1" ht="13.5" customHeight="1">
      <c r="A107" s="163" t="s">
        <v>321</v>
      </c>
      <c r="B107" s="169" t="s">
        <v>350</v>
      </c>
      <c r="C107" s="165"/>
      <c r="D107" s="210"/>
      <c r="E107" s="209"/>
    </row>
    <row r="108" spans="1:5" s="7" customFormat="1" ht="13.5" customHeight="1">
      <c r="A108" s="163"/>
      <c r="B108" s="153" t="s">
        <v>864</v>
      </c>
      <c r="C108" s="165">
        <v>0</v>
      </c>
      <c r="D108" s="210"/>
      <c r="E108" s="209">
        <f t="shared" si="3"/>
        <v>0</v>
      </c>
    </row>
    <row r="109" spans="1:5" s="7" customFormat="1" ht="13.5" customHeight="1">
      <c r="A109" s="163"/>
      <c r="B109" s="153" t="s">
        <v>865</v>
      </c>
      <c r="C109" s="165">
        <v>0</v>
      </c>
      <c r="D109" s="210"/>
      <c r="E109" s="209">
        <f t="shared" si="3"/>
        <v>0</v>
      </c>
    </row>
    <row r="110" spans="1:5" s="7" customFormat="1" ht="13.5" customHeight="1">
      <c r="A110" s="163"/>
      <c r="B110" s="153" t="s">
        <v>866</v>
      </c>
      <c r="C110" s="165">
        <v>0</v>
      </c>
      <c r="D110" s="210"/>
      <c r="E110" s="209">
        <f t="shared" si="3"/>
        <v>0</v>
      </c>
    </row>
    <row r="111" spans="1:5" s="7" customFormat="1" ht="13.5" customHeight="1">
      <c r="A111" s="163"/>
      <c r="B111" s="153" t="s">
        <v>778</v>
      </c>
      <c r="C111" s="165">
        <v>0</v>
      </c>
      <c r="D111" s="210"/>
      <c r="E111" s="209">
        <v>0</v>
      </c>
    </row>
    <row r="112" spans="1:5" s="7" customFormat="1" ht="13.5" customHeight="1">
      <c r="A112" s="163" t="s">
        <v>322</v>
      </c>
      <c r="B112" s="211" t="s">
        <v>548</v>
      </c>
      <c r="C112" s="165"/>
      <c r="D112" s="210"/>
      <c r="E112" s="209"/>
    </row>
    <row r="113" spans="1:5" s="7" customFormat="1" ht="13.5" customHeight="1">
      <c r="A113" s="163"/>
      <c r="B113" s="153" t="s">
        <v>864</v>
      </c>
      <c r="C113" s="165">
        <f>C118+C123</f>
        <v>576829</v>
      </c>
      <c r="D113" s="210"/>
      <c r="E113" s="209">
        <f t="shared" si="3"/>
        <v>576829</v>
      </c>
    </row>
    <row r="114" spans="1:5" s="7" customFormat="1" ht="13.5" customHeight="1">
      <c r="A114" s="163"/>
      <c r="B114" s="153" t="s">
        <v>865</v>
      </c>
      <c r="C114" s="165">
        <f>C119+C124</f>
        <v>607075</v>
      </c>
      <c r="D114" s="210"/>
      <c r="E114" s="209">
        <f t="shared" si="3"/>
        <v>607075</v>
      </c>
    </row>
    <row r="115" spans="1:5" s="7" customFormat="1" ht="13.5" customHeight="1">
      <c r="A115" s="163"/>
      <c r="B115" s="153" t="s">
        <v>866</v>
      </c>
      <c r="C115" s="165">
        <f>C120+C125</f>
        <v>574743</v>
      </c>
      <c r="D115" s="210"/>
      <c r="E115" s="209">
        <f t="shared" si="3"/>
        <v>574743</v>
      </c>
    </row>
    <row r="116" spans="1:5" s="7" customFormat="1" ht="13.5" customHeight="1">
      <c r="A116" s="163"/>
      <c r="B116" s="153" t="s">
        <v>778</v>
      </c>
      <c r="C116" s="165">
        <f>C121+C126</f>
        <v>1019281</v>
      </c>
      <c r="D116" s="210"/>
      <c r="E116" s="209"/>
    </row>
    <row r="117" spans="1:5" s="55" customFormat="1" ht="25.5" customHeight="1">
      <c r="A117" s="166"/>
      <c r="B117" s="264" t="s">
        <v>868</v>
      </c>
      <c r="C117" s="168"/>
      <c r="D117" s="213"/>
      <c r="E117" s="214"/>
    </row>
    <row r="118" spans="1:5" s="55" customFormat="1" ht="13.5" customHeight="1">
      <c r="A118" s="166"/>
      <c r="B118" s="160" t="s">
        <v>864</v>
      </c>
      <c r="C118" s="215">
        <f>'5.mell'!I630</f>
        <v>197147</v>
      </c>
      <c r="D118" s="216"/>
      <c r="E118" s="214">
        <f t="shared" si="3"/>
        <v>197147</v>
      </c>
    </row>
    <row r="119" spans="1:5" s="55" customFormat="1" ht="13.5" customHeight="1">
      <c r="A119" s="166"/>
      <c r="B119" s="160" t="s">
        <v>865</v>
      </c>
      <c r="C119" s="217">
        <f>'5.mell'!I631-180</f>
        <v>200049</v>
      </c>
      <c r="D119" s="213"/>
      <c r="E119" s="214">
        <f t="shared" si="3"/>
        <v>200049</v>
      </c>
    </row>
    <row r="120" spans="1:5" s="55" customFormat="1" ht="13.5" customHeight="1">
      <c r="A120" s="166"/>
      <c r="B120" s="160" t="s">
        <v>866</v>
      </c>
      <c r="C120" s="217">
        <f>'5.mell'!I632-C178</f>
        <v>134635</v>
      </c>
      <c r="D120" s="213"/>
      <c r="E120" s="214">
        <f t="shared" si="3"/>
        <v>134635</v>
      </c>
    </row>
    <row r="121" spans="1:5" s="55" customFormat="1" ht="13.5" customHeight="1">
      <c r="A121" s="166"/>
      <c r="B121" s="153" t="s">
        <v>778</v>
      </c>
      <c r="C121" s="217">
        <v>155340</v>
      </c>
      <c r="D121" s="213"/>
      <c r="E121" s="214"/>
    </row>
    <row r="122" spans="1:5" s="55" customFormat="1" ht="13.5" customHeight="1">
      <c r="A122" s="166" t="s">
        <v>446</v>
      </c>
      <c r="B122" s="218" t="s">
        <v>712</v>
      </c>
      <c r="C122" s="217"/>
      <c r="D122" s="213"/>
      <c r="E122" s="214"/>
    </row>
    <row r="123" spans="1:5" s="55" customFormat="1" ht="13.5" customHeight="1">
      <c r="A123" s="166"/>
      <c r="B123" s="160" t="s">
        <v>864</v>
      </c>
      <c r="C123" s="217">
        <f>'5.mell'!J630</f>
        <v>379682</v>
      </c>
      <c r="D123" s="213"/>
      <c r="E123" s="214">
        <f t="shared" si="3"/>
        <v>379682</v>
      </c>
    </row>
    <row r="124" spans="1:5" s="55" customFormat="1" ht="13.5" customHeight="1">
      <c r="A124" s="166"/>
      <c r="B124" s="160" t="s">
        <v>865</v>
      </c>
      <c r="C124" s="217">
        <f>'5.mell'!J631-'5.mell'!J623</f>
        <v>407026</v>
      </c>
      <c r="D124" s="213"/>
      <c r="E124" s="214">
        <f t="shared" si="3"/>
        <v>407026</v>
      </c>
    </row>
    <row r="125" spans="1:5" s="55" customFormat="1" ht="13.5" customHeight="1">
      <c r="A125" s="166"/>
      <c r="B125" s="1668" t="s">
        <v>866</v>
      </c>
      <c r="C125" s="215">
        <f>'5.mell'!J632</f>
        <v>440108</v>
      </c>
      <c r="D125" s="216"/>
      <c r="E125" s="214">
        <f t="shared" si="3"/>
        <v>440108</v>
      </c>
    </row>
    <row r="126" spans="1:5" s="55" customFormat="1" ht="13.5" customHeight="1" thickBot="1">
      <c r="A126" s="166"/>
      <c r="B126" s="153" t="s">
        <v>778</v>
      </c>
      <c r="C126" s="1669">
        <v>863941</v>
      </c>
      <c r="D126" s="1670"/>
      <c r="E126" s="1667"/>
    </row>
    <row r="127" spans="1:5" s="8" customFormat="1" ht="14.25" customHeight="1" thickTop="1">
      <c r="A127" s="1836" t="s">
        <v>641</v>
      </c>
      <c r="B127" s="1837"/>
      <c r="C127" s="174"/>
      <c r="D127" s="219"/>
      <c r="E127" s="220"/>
    </row>
    <row r="128" spans="1:5" s="8" customFormat="1" ht="14.25" customHeight="1">
      <c r="A128" s="176"/>
      <c r="B128" s="177" t="s">
        <v>864</v>
      </c>
      <c r="C128" s="178">
        <f>C93+C98+C103+C108+C113</f>
        <v>1578744</v>
      </c>
      <c r="D128" s="221"/>
      <c r="E128" s="222">
        <f>C128</f>
        <v>1578744</v>
      </c>
    </row>
    <row r="129" spans="1:5" s="8" customFormat="1" ht="14.25" customHeight="1">
      <c r="A129" s="223"/>
      <c r="B129" s="153" t="s">
        <v>865</v>
      </c>
      <c r="C129" s="181">
        <f>C94+C99+C104+C109+C114</f>
        <v>1779287</v>
      </c>
      <c r="D129" s="224"/>
      <c r="E129" s="225">
        <f>C129</f>
        <v>1779287</v>
      </c>
    </row>
    <row r="130" spans="1:5" s="8" customFormat="1" ht="14.25" customHeight="1">
      <c r="A130" s="223"/>
      <c r="B130" s="153" t="s">
        <v>866</v>
      </c>
      <c r="C130" s="226">
        <f>C95+C100+C105+C110+C115</f>
        <v>1602037</v>
      </c>
      <c r="D130" s="227"/>
      <c r="E130" s="228">
        <f>C130</f>
        <v>1602037</v>
      </c>
    </row>
    <row r="131" spans="1:5" s="8" customFormat="1" ht="14.25" customHeight="1" thickBot="1">
      <c r="A131" s="223"/>
      <c r="B131" s="153" t="s">
        <v>778</v>
      </c>
      <c r="C131" s="1671">
        <f>C96+C101+C106+C111+C116</f>
        <v>2210909</v>
      </c>
      <c r="D131" s="1672"/>
      <c r="E131" s="1673">
        <f>C131</f>
        <v>2210909</v>
      </c>
    </row>
    <row r="132" spans="1:5" s="6" customFormat="1" ht="15" customHeight="1" thickTop="1">
      <c r="A132" s="195" t="s">
        <v>341</v>
      </c>
      <c r="B132" s="229" t="s">
        <v>642</v>
      </c>
      <c r="C132" s="230"/>
      <c r="D132" s="231"/>
      <c r="E132" s="197"/>
    </row>
    <row r="133" spans="1:5" s="7" customFormat="1" ht="13.5" customHeight="1">
      <c r="A133" s="163" t="s">
        <v>316</v>
      </c>
      <c r="B133" s="164" t="s">
        <v>351</v>
      </c>
      <c r="C133" s="208"/>
      <c r="D133" s="165"/>
      <c r="E133" s="209"/>
    </row>
    <row r="134" spans="1:5" s="7" customFormat="1" ht="13.5" customHeight="1">
      <c r="A134" s="163"/>
      <c r="B134" s="153" t="s">
        <v>864</v>
      </c>
      <c r="C134" s="208"/>
      <c r="D134" s="165">
        <f>'6.mell'!D11</f>
        <v>1441485</v>
      </c>
      <c r="E134" s="209">
        <f>D134</f>
        <v>1441485</v>
      </c>
    </row>
    <row r="135" spans="1:5" s="7" customFormat="1" ht="13.5" customHeight="1">
      <c r="A135" s="163"/>
      <c r="B135" s="153" t="s">
        <v>865</v>
      </c>
      <c r="C135" s="208"/>
      <c r="D135" s="165">
        <f>'6.mell'!E11+'6.mell'!E51</f>
        <v>1031482</v>
      </c>
      <c r="E135" s="209">
        <f aca="true" t="shared" si="4" ref="E135:E151">D135</f>
        <v>1031482</v>
      </c>
    </row>
    <row r="136" spans="1:5" s="7" customFormat="1" ht="13.5" customHeight="1">
      <c r="A136" s="163"/>
      <c r="B136" s="153" t="s">
        <v>866</v>
      </c>
      <c r="C136" s="208"/>
      <c r="D136" s="165">
        <f>'6.mell'!F9</f>
        <v>226391</v>
      </c>
      <c r="E136" s="209">
        <f t="shared" si="4"/>
        <v>226391</v>
      </c>
    </row>
    <row r="137" spans="1:5" s="7" customFormat="1" ht="13.5" customHeight="1">
      <c r="A137" s="163"/>
      <c r="B137" s="153" t="s">
        <v>778</v>
      </c>
      <c r="C137" s="208"/>
      <c r="D137" s="165">
        <v>161556</v>
      </c>
      <c r="E137" s="209">
        <v>161556</v>
      </c>
    </row>
    <row r="138" spans="1:5" s="7" customFormat="1" ht="14.25" customHeight="1">
      <c r="A138" s="163" t="s">
        <v>318</v>
      </c>
      <c r="B138" s="169" t="s">
        <v>352</v>
      </c>
      <c r="C138" s="210"/>
      <c r="D138" s="165"/>
      <c r="E138" s="209"/>
    </row>
    <row r="139" spans="1:5" s="7" customFormat="1" ht="14.25" customHeight="1">
      <c r="A139" s="163"/>
      <c r="B139" s="153" t="s">
        <v>864</v>
      </c>
      <c r="C139" s="210"/>
      <c r="D139" s="165">
        <f>'6.mell'!D56</f>
        <v>317204</v>
      </c>
      <c r="E139" s="209">
        <f t="shared" si="4"/>
        <v>317204</v>
      </c>
    </row>
    <row r="140" spans="1:5" s="7" customFormat="1" ht="14.25" customHeight="1">
      <c r="A140" s="163"/>
      <c r="B140" s="153" t="s">
        <v>865</v>
      </c>
      <c r="C140" s="210"/>
      <c r="D140" s="165">
        <f>'6.mell'!E56</f>
        <v>816554</v>
      </c>
      <c r="E140" s="209">
        <f t="shared" si="4"/>
        <v>816554</v>
      </c>
    </row>
    <row r="141" spans="1:5" s="7" customFormat="1" ht="14.25" customHeight="1">
      <c r="A141" s="163"/>
      <c r="B141" s="153" t="s">
        <v>866</v>
      </c>
      <c r="C141" s="210"/>
      <c r="D141" s="165">
        <f>'6.mell'!F56</f>
        <v>660374</v>
      </c>
      <c r="E141" s="209">
        <f t="shared" si="4"/>
        <v>660374</v>
      </c>
    </row>
    <row r="142" spans="1:5" s="7" customFormat="1" ht="14.25" customHeight="1">
      <c r="A142" s="163"/>
      <c r="B142" s="153" t="s">
        <v>778</v>
      </c>
      <c r="C142" s="210"/>
      <c r="D142" s="165">
        <v>72137</v>
      </c>
      <c r="E142" s="209">
        <v>72137</v>
      </c>
    </row>
    <row r="143" spans="1:5" s="7" customFormat="1" ht="12" customHeight="1">
      <c r="A143" s="163" t="s">
        <v>319</v>
      </c>
      <c r="B143" s="169" t="s">
        <v>419</v>
      </c>
      <c r="C143" s="210"/>
      <c r="D143" s="165"/>
      <c r="E143" s="209"/>
    </row>
    <row r="144" spans="1:5" s="7" customFormat="1" ht="12" customHeight="1">
      <c r="A144" s="163"/>
      <c r="B144" s="153" t="s">
        <v>864</v>
      </c>
      <c r="C144" s="232"/>
      <c r="D144" s="172">
        <f>'6.mell'!D85+'6.mell'!D91+'6.mell'!D92+'6.mell'!D93</f>
        <v>5850</v>
      </c>
      <c r="E144" s="209">
        <f t="shared" si="4"/>
        <v>5850</v>
      </c>
    </row>
    <row r="145" spans="1:5" s="7" customFormat="1" ht="12" customHeight="1">
      <c r="A145" s="163"/>
      <c r="B145" s="153" t="s">
        <v>865</v>
      </c>
      <c r="C145" s="210"/>
      <c r="D145" s="170">
        <f>'6.mell'!E85+'6.mell'!E91+'6.mell'!E92+'6.mell'!E93+'6.mell'!E94</f>
        <v>17033</v>
      </c>
      <c r="E145" s="209">
        <f t="shared" si="4"/>
        <v>17033</v>
      </c>
    </row>
    <row r="146" spans="1:5" s="7" customFormat="1" ht="12" customHeight="1">
      <c r="A146" s="163"/>
      <c r="B146" s="153" t="s">
        <v>866</v>
      </c>
      <c r="C146" s="232"/>
      <c r="D146" s="172">
        <f>'3.mell'!E646</f>
        <v>13630</v>
      </c>
      <c r="E146" s="228">
        <f t="shared" si="4"/>
        <v>13630</v>
      </c>
    </row>
    <row r="147" spans="1:5" s="7" customFormat="1" ht="12" customHeight="1" thickBot="1">
      <c r="A147" s="1683"/>
      <c r="B147" s="201" t="s">
        <v>778</v>
      </c>
      <c r="C147" s="1680"/>
      <c r="D147" s="1676">
        <v>8952</v>
      </c>
      <c r="E147" s="1673">
        <v>8952</v>
      </c>
    </row>
    <row r="148" spans="1:5" s="8" customFormat="1" ht="12.75" customHeight="1" thickBot="1" thickTop="1">
      <c r="A148" s="1838" t="s">
        <v>643</v>
      </c>
      <c r="B148" s="1839"/>
      <c r="C148" s="233"/>
      <c r="D148" s="234"/>
      <c r="E148" s="235"/>
    </row>
    <row r="149" spans="1:5" s="8" customFormat="1" ht="12.75" customHeight="1" thickTop="1">
      <c r="A149" s="173"/>
      <c r="B149" s="153" t="s">
        <v>864</v>
      </c>
      <c r="C149" s="219"/>
      <c r="D149" s="174">
        <f>D134+D139+D144</f>
        <v>1764539</v>
      </c>
      <c r="E149" s="209">
        <f t="shared" si="4"/>
        <v>1764539</v>
      </c>
    </row>
    <row r="150" spans="1:5" s="8" customFormat="1" ht="12.75" customHeight="1">
      <c r="A150" s="223"/>
      <c r="B150" s="153" t="s">
        <v>865</v>
      </c>
      <c r="C150" s="224"/>
      <c r="D150" s="181">
        <f>D135+D140+D145</f>
        <v>1865069</v>
      </c>
      <c r="E150" s="209">
        <f t="shared" si="4"/>
        <v>1865069</v>
      </c>
    </row>
    <row r="151" spans="1:5" s="8" customFormat="1" ht="12.75" customHeight="1">
      <c r="A151" s="223"/>
      <c r="B151" s="290" t="s">
        <v>866</v>
      </c>
      <c r="C151" s="227"/>
      <c r="D151" s="226">
        <f>D136+D141+D146</f>
        <v>900395</v>
      </c>
      <c r="E151" s="1674">
        <f t="shared" si="4"/>
        <v>900395</v>
      </c>
    </row>
    <row r="152" spans="1:5" s="8" customFormat="1" ht="12.75" customHeight="1" thickBot="1">
      <c r="A152" s="1675"/>
      <c r="B152" s="290" t="s">
        <v>778</v>
      </c>
      <c r="C152" s="1672"/>
      <c r="D152" s="1671">
        <f>D137+D142+D147</f>
        <v>242645</v>
      </c>
      <c r="E152" s="1673">
        <f>D152</f>
        <v>242645</v>
      </c>
    </row>
    <row r="153" spans="1:5" s="6" customFormat="1" ht="15" customHeight="1" thickTop="1">
      <c r="A153" s="144" t="s">
        <v>353</v>
      </c>
      <c r="B153" s="229" t="s">
        <v>333</v>
      </c>
      <c r="C153" s="117"/>
      <c r="D153" s="117"/>
      <c r="E153" s="202"/>
    </row>
    <row r="154" spans="1:5" s="7" customFormat="1" ht="13.5" customHeight="1">
      <c r="A154" s="163" t="s">
        <v>316</v>
      </c>
      <c r="B154" s="164" t="s">
        <v>354</v>
      </c>
      <c r="C154" s="165"/>
      <c r="D154" s="165"/>
      <c r="E154" s="209"/>
    </row>
    <row r="155" spans="1:5" s="7" customFormat="1" ht="13.5" customHeight="1">
      <c r="A155" s="163"/>
      <c r="B155" s="153" t="s">
        <v>864</v>
      </c>
      <c r="C155" s="165">
        <v>7000</v>
      </c>
      <c r="D155" s="165"/>
      <c r="E155" s="209">
        <f>C155</f>
        <v>7000</v>
      </c>
    </row>
    <row r="156" spans="1:5" s="7" customFormat="1" ht="13.5" customHeight="1">
      <c r="A156" s="163"/>
      <c r="B156" s="153" t="s">
        <v>865</v>
      </c>
      <c r="C156" s="165">
        <v>4185</v>
      </c>
      <c r="D156" s="165"/>
      <c r="E156" s="209">
        <f>C156</f>
        <v>4185</v>
      </c>
    </row>
    <row r="157" spans="1:5" s="7" customFormat="1" ht="13.5" customHeight="1">
      <c r="A157" s="163"/>
      <c r="B157" s="153" t="s">
        <v>866</v>
      </c>
      <c r="C157" s="165">
        <v>0</v>
      </c>
      <c r="D157" s="165"/>
      <c r="E157" s="209">
        <f>C157</f>
        <v>0</v>
      </c>
    </row>
    <row r="158" spans="1:5" s="7" customFormat="1" ht="13.5" customHeight="1">
      <c r="A158" s="163"/>
      <c r="B158" s="153" t="s">
        <v>778</v>
      </c>
      <c r="C158" s="165">
        <v>0</v>
      </c>
      <c r="D158" s="165"/>
      <c r="E158" s="209">
        <v>0</v>
      </c>
    </row>
    <row r="159" spans="1:5" s="7" customFormat="1" ht="12" customHeight="1">
      <c r="A159" s="163" t="s">
        <v>318</v>
      </c>
      <c r="B159" s="169" t="s">
        <v>355</v>
      </c>
      <c r="C159" s="165"/>
      <c r="D159" s="170"/>
      <c r="E159" s="225"/>
    </row>
    <row r="160" spans="1:5" s="7" customFormat="1" ht="12" customHeight="1">
      <c r="A160" s="163"/>
      <c r="B160" s="153" t="s">
        <v>864</v>
      </c>
      <c r="C160" s="172">
        <f>'7.mell'!C17</f>
        <v>9090</v>
      </c>
      <c r="D160" s="172"/>
      <c r="E160" s="228">
        <f>C160</f>
        <v>9090</v>
      </c>
    </row>
    <row r="161" spans="1:5" s="7" customFormat="1" ht="12" customHeight="1">
      <c r="A161" s="163"/>
      <c r="B161" s="153" t="s">
        <v>865</v>
      </c>
      <c r="C161" s="170">
        <v>7418</v>
      </c>
      <c r="D161" s="170"/>
      <c r="E161" s="225">
        <f>C161</f>
        <v>7418</v>
      </c>
    </row>
    <row r="162" spans="1:5" s="7" customFormat="1" ht="12" customHeight="1">
      <c r="A162" s="237"/>
      <c r="B162" s="153" t="s">
        <v>866</v>
      </c>
      <c r="C162" s="170">
        <v>0</v>
      </c>
      <c r="D162" s="170"/>
      <c r="E162" s="225">
        <f>C162</f>
        <v>0</v>
      </c>
    </row>
    <row r="163" spans="1:5" s="7" customFormat="1" ht="12" customHeight="1">
      <c r="A163" s="243"/>
      <c r="B163" s="153" t="s">
        <v>778</v>
      </c>
      <c r="C163" s="170">
        <v>0</v>
      </c>
      <c r="D163" s="170"/>
      <c r="E163" s="225">
        <v>0</v>
      </c>
    </row>
    <row r="164" spans="1:5" s="7" customFormat="1" ht="12" customHeight="1">
      <c r="A164" s="238" t="s">
        <v>319</v>
      </c>
      <c r="B164" s="169" t="s">
        <v>480</v>
      </c>
      <c r="C164" s="170"/>
      <c r="D164" s="170"/>
      <c r="E164" s="225"/>
    </row>
    <row r="165" spans="1:5" s="7" customFormat="1" ht="12" customHeight="1">
      <c r="A165" s="163"/>
      <c r="B165" s="153" t="s">
        <v>864</v>
      </c>
      <c r="C165" s="170"/>
      <c r="D165" s="170">
        <v>300000</v>
      </c>
      <c r="E165" s="225">
        <f>D165</f>
        <v>300000</v>
      </c>
    </row>
    <row r="166" spans="1:5" s="7" customFormat="1" ht="12" customHeight="1">
      <c r="A166" s="163"/>
      <c r="B166" s="153" t="s">
        <v>865</v>
      </c>
      <c r="C166" s="170"/>
      <c r="D166" s="170">
        <v>300000</v>
      </c>
      <c r="E166" s="225">
        <f>D166</f>
        <v>300000</v>
      </c>
    </row>
    <row r="167" spans="1:5" s="7" customFormat="1" ht="12" customHeight="1">
      <c r="A167" s="163"/>
      <c r="B167" s="290" t="s">
        <v>866</v>
      </c>
      <c r="C167" s="172"/>
      <c r="D167" s="172">
        <v>0</v>
      </c>
      <c r="E167" s="228">
        <f>D167</f>
        <v>0</v>
      </c>
    </row>
    <row r="168" spans="1:5" s="7" customFormat="1" ht="12" customHeight="1" thickBot="1">
      <c r="A168" s="163"/>
      <c r="B168" s="153" t="s">
        <v>778</v>
      </c>
      <c r="C168" s="1676"/>
      <c r="D168" s="1676">
        <v>0</v>
      </c>
      <c r="E168" s="1673">
        <v>0</v>
      </c>
    </row>
    <row r="169" spans="1:5" s="8" customFormat="1" ht="12.75" customHeight="1" thickTop="1">
      <c r="A169" s="1836" t="s">
        <v>644</v>
      </c>
      <c r="B169" s="1837"/>
      <c r="C169" s="174"/>
      <c r="D169" s="174"/>
      <c r="E169" s="175"/>
    </row>
    <row r="170" spans="1:5" s="8" customFormat="1" ht="12.75" customHeight="1">
      <c r="A170" s="176"/>
      <c r="B170" s="177" t="s">
        <v>864</v>
      </c>
      <c r="C170" s="178">
        <f aca="true" t="shared" si="5" ref="C170:D172">C155+C160+C165</f>
        <v>16090</v>
      </c>
      <c r="D170" s="178">
        <f t="shared" si="5"/>
        <v>300000</v>
      </c>
      <c r="E170" s="179">
        <f>D170+C170</f>
        <v>316090</v>
      </c>
    </row>
    <row r="171" spans="1:5" s="8" customFormat="1" ht="12.75" customHeight="1">
      <c r="A171" s="180"/>
      <c r="B171" s="153" t="s">
        <v>865</v>
      </c>
      <c r="C171" s="181">
        <f t="shared" si="5"/>
        <v>11603</v>
      </c>
      <c r="D171" s="181">
        <f t="shared" si="5"/>
        <v>300000</v>
      </c>
      <c r="E171" s="182">
        <f>D171+C171</f>
        <v>311603</v>
      </c>
    </row>
    <row r="172" spans="1:5" s="8" customFormat="1" ht="12.75" customHeight="1">
      <c r="A172" s="223"/>
      <c r="B172" s="153" t="s">
        <v>866</v>
      </c>
      <c r="C172" s="226">
        <f t="shared" si="5"/>
        <v>0</v>
      </c>
      <c r="D172" s="226">
        <f t="shared" si="5"/>
        <v>0</v>
      </c>
      <c r="E172" s="239">
        <f>D172+C172</f>
        <v>0</v>
      </c>
    </row>
    <row r="173" spans="1:5" s="8" customFormat="1" ht="12.75" customHeight="1" thickBot="1">
      <c r="A173" s="223"/>
      <c r="B173" s="153" t="s">
        <v>778</v>
      </c>
      <c r="C173" s="1671"/>
      <c r="D173" s="1671"/>
      <c r="E173" s="236"/>
    </row>
    <row r="174" spans="1:5" s="8" customFormat="1" ht="12.75" customHeight="1" thickTop="1">
      <c r="A174" s="240" t="s">
        <v>376</v>
      </c>
      <c r="B174" s="241" t="s">
        <v>639</v>
      </c>
      <c r="C174" s="174"/>
      <c r="D174" s="174"/>
      <c r="E174" s="175"/>
    </row>
    <row r="175" spans="1:5" s="8" customFormat="1" ht="12.75" customHeight="1">
      <c r="A175" s="163" t="s">
        <v>316</v>
      </c>
      <c r="B175" s="164" t="s">
        <v>652</v>
      </c>
      <c r="C175" s="165"/>
      <c r="D175" s="165"/>
      <c r="E175" s="242"/>
    </row>
    <row r="176" spans="1:5" s="8" customFormat="1" ht="12.75" customHeight="1">
      <c r="A176" s="163"/>
      <c r="B176" s="153" t="s">
        <v>864</v>
      </c>
      <c r="C176" s="172"/>
      <c r="D176" s="172">
        <f>'6.mell'!D84</f>
        <v>3529</v>
      </c>
      <c r="E176" s="239">
        <f>D176+C176</f>
        <v>3529</v>
      </c>
    </row>
    <row r="177" spans="1:5" s="8" customFormat="1" ht="12.75" customHeight="1">
      <c r="A177" s="163"/>
      <c r="B177" s="153" t="s">
        <v>865</v>
      </c>
      <c r="C177" s="170">
        <v>180</v>
      </c>
      <c r="D177" s="170">
        <f>'6.mell'!E84</f>
        <v>3529</v>
      </c>
      <c r="E177" s="182">
        <f aca="true" t="shared" si="6" ref="E177:E183">D177+C177</f>
        <v>3709</v>
      </c>
    </row>
    <row r="178" spans="1:5" s="8" customFormat="1" ht="12.75" customHeight="1">
      <c r="A178" s="163"/>
      <c r="B178" s="153" t="s">
        <v>866</v>
      </c>
      <c r="C178" s="170">
        <v>180</v>
      </c>
      <c r="D178" s="170">
        <f>'6.mell'!F84</f>
        <v>0</v>
      </c>
      <c r="E178" s="182">
        <f t="shared" si="6"/>
        <v>180</v>
      </c>
    </row>
    <row r="179" spans="1:5" s="8" customFormat="1" ht="12.75" customHeight="1">
      <c r="A179" s="163"/>
      <c r="B179" s="153" t="s">
        <v>778</v>
      </c>
      <c r="C179" s="170"/>
      <c r="D179" s="170"/>
      <c r="E179" s="182"/>
    </row>
    <row r="180" spans="1:5" s="8" customFormat="1" ht="12.75" customHeight="1">
      <c r="A180" s="243" t="s">
        <v>318</v>
      </c>
      <c r="B180" s="244" t="s">
        <v>653</v>
      </c>
      <c r="C180" s="170"/>
      <c r="D180" s="170"/>
      <c r="E180" s="182"/>
    </row>
    <row r="181" spans="1:5" s="8" customFormat="1" ht="12.75" customHeight="1">
      <c r="A181" s="163"/>
      <c r="B181" s="153" t="s">
        <v>864</v>
      </c>
      <c r="C181" s="170"/>
      <c r="D181" s="170">
        <f>'6.mell'!D89+'6.mell'!D90</f>
        <v>24479</v>
      </c>
      <c r="E181" s="182">
        <f t="shared" si="6"/>
        <v>24479</v>
      </c>
    </row>
    <row r="182" spans="1:5" s="8" customFormat="1" ht="12.75" customHeight="1">
      <c r="A182" s="163"/>
      <c r="B182" s="153" t="s">
        <v>865</v>
      </c>
      <c r="C182" s="170"/>
      <c r="D182" s="170">
        <f>'6.mell'!E89+'6.mell'!E90</f>
        <v>24509</v>
      </c>
      <c r="E182" s="182">
        <f t="shared" si="6"/>
        <v>24509</v>
      </c>
    </row>
    <row r="183" spans="1:5" s="8" customFormat="1" ht="12.75" customHeight="1">
      <c r="A183" s="163"/>
      <c r="B183" s="290" t="s">
        <v>866</v>
      </c>
      <c r="C183" s="172"/>
      <c r="D183" s="172">
        <f>'6.mell'!F89+'6.mell'!F90</f>
        <v>4111</v>
      </c>
      <c r="E183" s="239">
        <f t="shared" si="6"/>
        <v>4111</v>
      </c>
    </row>
    <row r="184" spans="1:5" s="8" customFormat="1" ht="12.75" customHeight="1" thickBot="1">
      <c r="A184" s="163"/>
      <c r="B184" s="153" t="s">
        <v>778</v>
      </c>
      <c r="C184" s="1676"/>
      <c r="D184" s="1676"/>
      <c r="E184" s="236"/>
    </row>
    <row r="185" spans="1:5" s="8" customFormat="1" ht="12.75" customHeight="1" thickTop="1">
      <c r="A185" s="1819" t="s">
        <v>645</v>
      </c>
      <c r="B185" s="1820"/>
      <c r="C185" s="174"/>
      <c r="D185" s="174"/>
      <c r="E185" s="175"/>
    </row>
    <row r="186" spans="1:5" s="8" customFormat="1" ht="12.75" customHeight="1">
      <c r="A186" s="245"/>
      <c r="B186" s="177" t="s">
        <v>864</v>
      </c>
      <c r="C186" s="178">
        <f aca="true" t="shared" si="7" ref="C186:E188">C176+C181</f>
        <v>0</v>
      </c>
      <c r="D186" s="178">
        <f t="shared" si="7"/>
        <v>28008</v>
      </c>
      <c r="E186" s="179">
        <f t="shared" si="7"/>
        <v>28008</v>
      </c>
    </row>
    <row r="187" spans="1:5" s="8" customFormat="1" ht="12.75" customHeight="1">
      <c r="A187" s="246"/>
      <c r="B187" s="153" t="s">
        <v>865</v>
      </c>
      <c r="C187" s="181">
        <f t="shared" si="7"/>
        <v>180</v>
      </c>
      <c r="D187" s="181">
        <f t="shared" si="7"/>
        <v>28038</v>
      </c>
      <c r="E187" s="182">
        <f t="shared" si="7"/>
        <v>28218</v>
      </c>
    </row>
    <row r="188" spans="1:5" s="8" customFormat="1" ht="12.75" customHeight="1">
      <c r="A188" s="248"/>
      <c r="B188" s="290" t="s">
        <v>866</v>
      </c>
      <c r="C188" s="226">
        <f t="shared" si="7"/>
        <v>180</v>
      </c>
      <c r="D188" s="226">
        <f t="shared" si="7"/>
        <v>4111</v>
      </c>
      <c r="E188" s="239">
        <f t="shared" si="7"/>
        <v>4291</v>
      </c>
    </row>
    <row r="189" spans="1:5" s="8" customFormat="1" ht="12.75" customHeight="1" thickBot="1">
      <c r="A189" s="1677"/>
      <c r="B189" s="153" t="s">
        <v>778</v>
      </c>
      <c r="C189" s="1671">
        <f>C179+C184</f>
        <v>0</v>
      </c>
      <c r="D189" s="1671">
        <f>D179+D184</f>
        <v>0</v>
      </c>
      <c r="E189" s="236">
        <f>C189+D189</f>
        <v>0</v>
      </c>
    </row>
    <row r="190" spans="1:5" s="8" customFormat="1" ht="12.75" customHeight="1" thickTop="1">
      <c r="A190" s="1819" t="s">
        <v>646</v>
      </c>
      <c r="B190" s="1820"/>
      <c r="C190" s="174"/>
      <c r="D190" s="174"/>
      <c r="E190" s="175"/>
    </row>
    <row r="191" spans="1:5" s="8" customFormat="1" ht="12.75" customHeight="1">
      <c r="A191" s="245"/>
      <c r="B191" s="177" t="s">
        <v>864</v>
      </c>
      <c r="C191" s="178">
        <f aca="true" t="shared" si="8" ref="C191:E193">C128+C149+C170+C186</f>
        <v>1594834</v>
      </c>
      <c r="D191" s="178">
        <f t="shared" si="8"/>
        <v>2092547</v>
      </c>
      <c r="E191" s="179">
        <f t="shared" si="8"/>
        <v>3687381</v>
      </c>
    </row>
    <row r="192" spans="1:5" s="8" customFormat="1" ht="12.75" customHeight="1">
      <c r="A192" s="246"/>
      <c r="B192" s="153" t="s">
        <v>865</v>
      </c>
      <c r="C192" s="181">
        <f t="shared" si="8"/>
        <v>1791070</v>
      </c>
      <c r="D192" s="181">
        <f t="shared" si="8"/>
        <v>2193107</v>
      </c>
      <c r="E192" s="182">
        <f t="shared" si="8"/>
        <v>3984177</v>
      </c>
    </row>
    <row r="193" spans="1:5" s="8" customFormat="1" ht="12.75" customHeight="1">
      <c r="A193" s="248"/>
      <c r="B193" s="153" t="s">
        <v>866</v>
      </c>
      <c r="C193" s="226">
        <f t="shared" si="8"/>
        <v>1602217</v>
      </c>
      <c r="D193" s="226">
        <f t="shared" si="8"/>
        <v>904506</v>
      </c>
      <c r="E193" s="239">
        <f t="shared" si="8"/>
        <v>2506723</v>
      </c>
    </row>
    <row r="194" spans="1:5" s="8" customFormat="1" ht="12.75" customHeight="1" thickBot="1">
      <c r="A194" s="248"/>
      <c r="B194" s="153" t="s">
        <v>778</v>
      </c>
      <c r="C194" s="1671">
        <f>C131+C152+C173+C189</f>
        <v>2210909</v>
      </c>
      <c r="D194" s="1671">
        <f>D131+D152+D173+D189</f>
        <v>242645</v>
      </c>
      <c r="E194" s="236">
        <f>D194+C194</f>
        <v>2453554</v>
      </c>
    </row>
    <row r="195" spans="1:5" s="8" customFormat="1" ht="12.75" customHeight="1" thickTop="1">
      <c r="A195" s="240" t="s">
        <v>406</v>
      </c>
      <c r="B195" s="241"/>
      <c r="C195" s="174"/>
      <c r="D195" s="174"/>
      <c r="E195" s="175"/>
    </row>
    <row r="196" spans="1:5" s="8" customFormat="1" ht="12.75" customHeight="1">
      <c r="A196" s="246"/>
      <c r="B196" s="249" t="s">
        <v>481</v>
      </c>
      <c r="C196" s="181"/>
      <c r="D196" s="181"/>
      <c r="E196" s="182"/>
    </row>
    <row r="197" spans="1:5" s="8" customFormat="1" ht="12.75" customHeight="1">
      <c r="A197" s="248"/>
      <c r="B197" s="153" t="s">
        <v>864</v>
      </c>
      <c r="C197" s="226">
        <f>'5.mell'!K618</f>
        <v>0</v>
      </c>
      <c r="D197" s="226">
        <f>'5.mell'!M614</f>
        <v>978</v>
      </c>
      <c r="E197" s="242">
        <f>C197+D197</f>
        <v>978</v>
      </c>
    </row>
    <row r="198" spans="1:5" s="8" customFormat="1" ht="12.75" customHeight="1">
      <c r="A198" s="248"/>
      <c r="B198" s="153" t="s">
        <v>865</v>
      </c>
      <c r="C198" s="181">
        <f>'5.mell'!K619+'5.mell'!J623</f>
        <v>70133</v>
      </c>
      <c r="D198" s="181">
        <f>'5.mell'!M615</f>
        <v>978</v>
      </c>
      <c r="E198" s="242">
        <f>C198+D198</f>
        <v>71111</v>
      </c>
    </row>
    <row r="199" spans="1:5" s="8" customFormat="1" ht="12.75" customHeight="1">
      <c r="A199" s="248"/>
      <c r="B199" s="153" t="s">
        <v>866</v>
      </c>
      <c r="C199" s="181">
        <f>'5.mell'!K620</f>
        <v>31403</v>
      </c>
      <c r="D199" s="181">
        <f>'5.mell'!M616</f>
        <v>978</v>
      </c>
      <c r="E199" s="242">
        <f>C199+D199</f>
        <v>32381</v>
      </c>
    </row>
    <row r="200" spans="1:5" s="8" customFormat="1" ht="15.75" customHeight="1" thickBot="1">
      <c r="A200" s="247"/>
      <c r="B200" s="153" t="s">
        <v>778</v>
      </c>
      <c r="C200" s="183">
        <v>86358</v>
      </c>
      <c r="D200" s="183">
        <v>978</v>
      </c>
      <c r="E200" s="250">
        <f>D200+C200</f>
        <v>87336</v>
      </c>
    </row>
    <row r="201" spans="1:5" s="9" customFormat="1" ht="15" customHeight="1" thickBot="1" thickTop="1">
      <c r="A201" s="1834" t="s">
        <v>647</v>
      </c>
      <c r="B201" s="1835"/>
      <c r="C201" s="251"/>
      <c r="D201" s="251"/>
      <c r="E201" s="252"/>
    </row>
    <row r="202" spans="1:5" ht="12.75">
      <c r="A202" s="140"/>
      <c r="B202" s="253" t="s">
        <v>864</v>
      </c>
      <c r="C202" s="254">
        <f aca="true" t="shared" si="9" ref="C202:E204">C191+C197</f>
        <v>1594834</v>
      </c>
      <c r="D202" s="255">
        <f t="shared" si="9"/>
        <v>2093525</v>
      </c>
      <c r="E202" s="256">
        <f t="shared" si="9"/>
        <v>3688359</v>
      </c>
    </row>
    <row r="203" spans="1:5" ht="12.75">
      <c r="A203" s="163"/>
      <c r="B203" s="153" t="s">
        <v>865</v>
      </c>
      <c r="C203" s="257">
        <f t="shared" si="9"/>
        <v>1861203</v>
      </c>
      <c r="D203" s="181">
        <f t="shared" si="9"/>
        <v>2194085</v>
      </c>
      <c r="E203" s="225">
        <f t="shared" si="9"/>
        <v>4055288</v>
      </c>
    </row>
    <row r="204" spans="1:5" ht="12.75">
      <c r="A204" s="163"/>
      <c r="B204" s="290" t="s">
        <v>866</v>
      </c>
      <c r="C204" s="1678">
        <f t="shared" si="9"/>
        <v>1633620</v>
      </c>
      <c r="D204" s="226">
        <f t="shared" si="9"/>
        <v>905484</v>
      </c>
      <c r="E204" s="228">
        <f t="shared" si="9"/>
        <v>2539104</v>
      </c>
    </row>
    <row r="205" spans="1:5" ht="13.5" thickBot="1">
      <c r="A205" s="1679"/>
      <c r="B205" s="258" t="s">
        <v>778</v>
      </c>
      <c r="C205" s="1681">
        <f>C194+C200</f>
        <v>2297267</v>
      </c>
      <c r="D205" s="1681">
        <f>D194+D200</f>
        <v>243623</v>
      </c>
      <c r="E205" s="1682">
        <f>D205+C205</f>
        <v>2540890</v>
      </c>
    </row>
  </sheetData>
  <sheetProtection/>
  <mergeCells count="14">
    <mergeCell ref="A201:B201"/>
    <mergeCell ref="A127:B127"/>
    <mergeCell ref="A148:B148"/>
    <mergeCell ref="A169:B169"/>
    <mergeCell ref="A185:B185"/>
    <mergeCell ref="A90:E90"/>
    <mergeCell ref="A7:B8"/>
    <mergeCell ref="E7:E8"/>
    <mergeCell ref="A190:B190"/>
    <mergeCell ref="A10:E10"/>
    <mergeCell ref="A87:B88"/>
    <mergeCell ref="E87:E88"/>
    <mergeCell ref="A62:B62"/>
    <mergeCell ref="A67:B6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rowBreaks count="3" manualBreakCount="3">
    <brk id="71" max="4" man="1"/>
    <brk id="86" max="4" man="1"/>
    <brk id="147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5"/>
  <sheetViews>
    <sheetView zoomScaleSheetLayoutView="100" zoomScalePageLayoutView="0" workbookViewId="0" topLeftCell="A1">
      <selection activeCell="E685" sqref="E685"/>
    </sheetView>
  </sheetViews>
  <sheetFormatPr defaultColWidth="9.00390625" defaultRowHeight="12" customHeight="1"/>
  <cols>
    <col min="1" max="1" width="3.125" style="265" customWidth="1"/>
    <col min="2" max="2" width="3.875" style="265" customWidth="1"/>
    <col min="3" max="3" width="76.75390625" style="438" customWidth="1"/>
    <col min="4" max="4" width="9.00390625" style="439" customWidth="1"/>
    <col min="5" max="5" width="10.75390625" style="440" customWidth="1"/>
    <col min="6" max="6" width="9.625" style="441" customWidth="1"/>
    <col min="7" max="16384" width="9.125" style="10" customWidth="1"/>
  </cols>
  <sheetData>
    <row r="1" spans="1:6" ht="12" customHeight="1">
      <c r="A1" s="266"/>
      <c r="B1" s="266"/>
      <c r="C1" s="267"/>
      <c r="D1" s="268"/>
      <c r="E1" s="269"/>
      <c r="F1" s="270"/>
    </row>
    <row r="2" spans="1:6" ht="12" customHeight="1">
      <c r="A2" s="266"/>
      <c r="B2" s="266"/>
      <c r="C2" s="267"/>
      <c r="D2" s="268"/>
      <c r="E2" s="269"/>
      <c r="F2" s="271"/>
    </row>
    <row r="3" spans="1:6" ht="12" customHeight="1">
      <c r="A3" s="266"/>
      <c r="B3" s="266"/>
      <c r="C3" s="267"/>
      <c r="D3" s="268"/>
      <c r="E3" s="269"/>
      <c r="F3" s="271"/>
    </row>
    <row r="4" spans="1:6" ht="13.5" customHeight="1" thickBot="1">
      <c r="A4" s="272"/>
      <c r="B4" s="272"/>
      <c r="C4" s="273"/>
      <c r="D4" s="274"/>
      <c r="E4" s="274"/>
      <c r="F4" s="479" t="s">
        <v>301</v>
      </c>
    </row>
    <row r="5" spans="1:6" ht="16.5" customHeight="1">
      <c r="A5" s="1846" t="s">
        <v>357</v>
      </c>
      <c r="B5" s="1847"/>
      <c r="C5" s="1847"/>
      <c r="D5" s="276" t="s">
        <v>335</v>
      </c>
      <c r="E5" s="276" t="s">
        <v>336</v>
      </c>
      <c r="F5" s="1850" t="s">
        <v>315</v>
      </c>
    </row>
    <row r="6" spans="1:6" ht="13.5" customHeight="1" thickBot="1">
      <c r="A6" s="1848"/>
      <c r="B6" s="1849"/>
      <c r="C6" s="1849"/>
      <c r="D6" s="277" t="s">
        <v>338</v>
      </c>
      <c r="E6" s="277" t="s">
        <v>338</v>
      </c>
      <c r="F6" s="1851"/>
    </row>
    <row r="7" spans="1:6" ht="21" customHeight="1" thickBot="1">
      <c r="A7" s="1876" t="s">
        <v>358</v>
      </c>
      <c r="B7" s="1877"/>
      <c r="C7" s="1877"/>
      <c r="D7" s="1877"/>
      <c r="E7" s="1877"/>
      <c r="F7" s="1878"/>
    </row>
    <row r="8" spans="1:6" s="11" customFormat="1" ht="15" customHeight="1">
      <c r="A8" s="278" t="s">
        <v>359</v>
      </c>
      <c r="B8" s="279"/>
      <c r="C8" s="1843" t="s">
        <v>755</v>
      </c>
      <c r="D8" s="1844"/>
      <c r="E8" s="1844"/>
      <c r="F8" s="1845"/>
    </row>
    <row r="9" spans="1:6" ht="6" customHeight="1">
      <c r="A9" s="280"/>
      <c r="B9" s="281"/>
      <c r="C9" s="267"/>
      <c r="D9" s="282"/>
      <c r="E9" s="283"/>
      <c r="F9" s="284"/>
    </row>
    <row r="10" spans="1:6" ht="12.75" customHeight="1">
      <c r="A10" s="280" t="s">
        <v>316</v>
      </c>
      <c r="B10" s="281"/>
      <c r="C10" s="285" t="s">
        <v>775</v>
      </c>
      <c r="D10" s="286"/>
      <c r="E10" s="286"/>
      <c r="F10" s="287"/>
    </row>
    <row r="11" spans="1:6" ht="10.5" customHeight="1">
      <c r="A11" s="280"/>
      <c r="B11" s="281"/>
      <c r="C11" s="153" t="s">
        <v>864</v>
      </c>
      <c r="D11" s="286">
        <f>'4.mell '!C32</f>
        <v>21800</v>
      </c>
      <c r="E11" s="286"/>
      <c r="F11" s="287">
        <f>D11+E11</f>
        <v>21800</v>
      </c>
    </row>
    <row r="12" spans="1:6" ht="10.5" customHeight="1">
      <c r="A12" s="280"/>
      <c r="B12" s="281"/>
      <c r="C12" s="153" t="s">
        <v>865</v>
      </c>
      <c r="D12" s="286">
        <f>'4.mell '!C33</f>
        <v>23558</v>
      </c>
      <c r="E12" s="286"/>
      <c r="F12" s="287">
        <f aca="true" t="shared" si="0" ref="F12:F25">D12+E12</f>
        <v>23558</v>
      </c>
    </row>
    <row r="13" spans="1:6" ht="10.5" customHeight="1">
      <c r="A13" s="280"/>
      <c r="B13" s="281"/>
      <c r="C13" s="153" t="s">
        <v>866</v>
      </c>
      <c r="D13" s="286">
        <f>'4.mell '!C34</f>
        <v>24900</v>
      </c>
      <c r="E13" s="286"/>
      <c r="F13" s="287">
        <f t="shared" si="0"/>
        <v>24900</v>
      </c>
    </row>
    <row r="14" spans="1:6" ht="13.5" customHeight="1">
      <c r="A14" s="280" t="s">
        <v>318</v>
      </c>
      <c r="B14" s="281"/>
      <c r="C14" s="285" t="s">
        <v>448</v>
      </c>
      <c r="D14" s="286"/>
      <c r="E14" s="286"/>
      <c r="F14" s="287"/>
    </row>
    <row r="15" spans="1:6" ht="10.5" customHeight="1">
      <c r="A15" s="280"/>
      <c r="B15" s="281"/>
      <c r="C15" s="153" t="s">
        <v>864</v>
      </c>
      <c r="D15" s="286">
        <f>'4.mell '!E32</f>
        <v>33698</v>
      </c>
      <c r="E15" s="286">
        <f>'4.mell '!D32</f>
        <v>0</v>
      </c>
      <c r="F15" s="287">
        <f t="shared" si="0"/>
        <v>33698</v>
      </c>
    </row>
    <row r="16" spans="1:6" ht="10.5" customHeight="1">
      <c r="A16" s="280"/>
      <c r="B16" s="281"/>
      <c r="C16" s="153" t="s">
        <v>865</v>
      </c>
      <c r="D16" s="286">
        <f>'4.mell '!E33</f>
        <v>28628</v>
      </c>
      <c r="E16" s="286">
        <f>'4.mell '!D33</f>
        <v>0</v>
      </c>
      <c r="F16" s="287">
        <f t="shared" si="0"/>
        <v>28628</v>
      </c>
    </row>
    <row r="17" spans="1:6" ht="10.5" customHeight="1">
      <c r="A17" s="280"/>
      <c r="B17" s="281"/>
      <c r="C17" s="153" t="s">
        <v>866</v>
      </c>
      <c r="D17" s="286">
        <f>'4.mell '!E34</f>
        <v>29186</v>
      </c>
      <c r="E17" s="286">
        <f>'4.mell '!D34</f>
        <v>0</v>
      </c>
      <c r="F17" s="287">
        <f t="shared" si="0"/>
        <v>29186</v>
      </c>
    </row>
    <row r="18" spans="1:6" ht="10.5" customHeight="1">
      <c r="A18" s="280" t="s">
        <v>319</v>
      </c>
      <c r="B18" s="281"/>
      <c r="C18" s="285" t="s">
        <v>618</v>
      </c>
      <c r="D18" s="286"/>
      <c r="E18" s="286"/>
      <c r="F18" s="287"/>
    </row>
    <row r="19" spans="1:6" ht="10.5" customHeight="1">
      <c r="A19" s="280"/>
      <c r="B19" s="281"/>
      <c r="C19" s="153" t="s">
        <v>864</v>
      </c>
      <c r="D19" s="286">
        <f>'4.mell '!G32</f>
        <v>0</v>
      </c>
      <c r="E19" s="286">
        <f>'4.mell '!H32</f>
        <v>0</v>
      </c>
      <c r="F19" s="287">
        <f t="shared" si="0"/>
        <v>0</v>
      </c>
    </row>
    <row r="20" spans="1:6" ht="10.5" customHeight="1">
      <c r="A20" s="280"/>
      <c r="B20" s="281"/>
      <c r="C20" s="153" t="s">
        <v>865</v>
      </c>
      <c r="D20" s="286">
        <f>'4.mell '!G33</f>
        <v>0</v>
      </c>
      <c r="E20" s="286">
        <f>'4.mell '!H33</f>
        <v>0</v>
      </c>
      <c r="F20" s="287">
        <f t="shared" si="0"/>
        <v>0</v>
      </c>
    </row>
    <row r="21" spans="1:6" ht="10.5" customHeight="1">
      <c r="A21" s="280"/>
      <c r="B21" s="281"/>
      <c r="C21" s="153" t="s">
        <v>866</v>
      </c>
      <c r="D21" s="286">
        <f>'4.mell '!G34</f>
        <v>0</v>
      </c>
      <c r="E21" s="286">
        <f>'4.mell '!H34</f>
        <v>0</v>
      </c>
      <c r="F21" s="287">
        <f t="shared" si="0"/>
        <v>0</v>
      </c>
    </row>
    <row r="22" spans="1:6" ht="10.5" customHeight="1">
      <c r="A22" s="280" t="s">
        <v>321</v>
      </c>
      <c r="B22" s="281"/>
      <c r="C22" s="288" t="s">
        <v>573</v>
      </c>
      <c r="D22" s="286"/>
      <c r="E22" s="286"/>
      <c r="F22" s="287"/>
    </row>
    <row r="23" spans="1:6" ht="10.5" customHeight="1">
      <c r="A23" s="280"/>
      <c r="B23" s="266"/>
      <c r="C23" s="153" t="s">
        <v>864</v>
      </c>
      <c r="D23" s="289">
        <f>'4.mell '!J32</f>
        <v>0</v>
      </c>
      <c r="E23" s="289">
        <f>'4.mell '!K32</f>
        <v>397</v>
      </c>
      <c r="F23" s="287">
        <f t="shared" si="0"/>
        <v>397</v>
      </c>
    </row>
    <row r="24" spans="1:6" ht="10.5" customHeight="1">
      <c r="A24" s="280"/>
      <c r="B24" s="266"/>
      <c r="C24" s="153" t="s">
        <v>865</v>
      </c>
      <c r="D24" s="286">
        <f>'4.mell '!J33</f>
        <v>3448</v>
      </c>
      <c r="E24" s="286">
        <f>'4.mell '!K33</f>
        <v>397</v>
      </c>
      <c r="F24" s="287">
        <f t="shared" si="0"/>
        <v>3845</v>
      </c>
    </row>
    <row r="25" spans="1:6" ht="10.5" customHeight="1" thickBot="1">
      <c r="A25" s="280"/>
      <c r="B25" s="266"/>
      <c r="C25" s="290" t="s">
        <v>866</v>
      </c>
      <c r="D25" s="289">
        <f>'4.mell '!J34</f>
        <v>3448</v>
      </c>
      <c r="E25" s="289">
        <f>'4.mell '!K34</f>
        <v>397</v>
      </c>
      <c r="F25" s="291">
        <f t="shared" si="0"/>
        <v>3845</v>
      </c>
    </row>
    <row r="26" spans="1:6" s="12" customFormat="1" ht="12" customHeight="1" thickTop="1">
      <c r="A26" s="1864" t="s">
        <v>774</v>
      </c>
      <c r="B26" s="1865"/>
      <c r="C26" s="1866"/>
      <c r="D26" s="294"/>
      <c r="E26" s="294"/>
      <c r="F26" s="295"/>
    </row>
    <row r="27" spans="1:6" s="12" customFormat="1" ht="12" customHeight="1">
      <c r="A27" s="296"/>
      <c r="B27" s="297"/>
      <c r="C27" s="187" t="s">
        <v>864</v>
      </c>
      <c r="D27" s="298">
        <f aca="true" t="shared" si="1" ref="D27:F28">D11+D15+D19+D23</f>
        <v>55498</v>
      </c>
      <c r="E27" s="298">
        <f t="shared" si="1"/>
        <v>397</v>
      </c>
      <c r="F27" s="371">
        <f t="shared" si="1"/>
        <v>55895</v>
      </c>
    </row>
    <row r="28" spans="1:6" s="12" customFormat="1" ht="12" customHeight="1">
      <c r="A28" s="296"/>
      <c r="B28" s="297"/>
      <c r="C28" s="153" t="s">
        <v>865</v>
      </c>
      <c r="D28" s="299">
        <f t="shared" si="1"/>
        <v>55634</v>
      </c>
      <c r="E28" s="299">
        <f t="shared" si="1"/>
        <v>397</v>
      </c>
      <c r="F28" s="327">
        <f t="shared" si="1"/>
        <v>56031</v>
      </c>
    </row>
    <row r="29" spans="1:6" s="12" customFormat="1" ht="12" customHeight="1" thickBot="1">
      <c r="A29" s="300"/>
      <c r="B29" s="301"/>
      <c r="C29" s="201" t="s">
        <v>866</v>
      </c>
      <c r="D29" s="302">
        <f>D13+D17+D21+D25</f>
        <v>57534</v>
      </c>
      <c r="E29" s="302">
        <f>E13+E17+E21+E25</f>
        <v>397</v>
      </c>
      <c r="F29" s="359">
        <f>F13+F17+F21+F25</f>
        <v>57931</v>
      </c>
    </row>
    <row r="30" spans="1:6" ht="3.75" customHeight="1" thickTop="1">
      <c r="A30" s="280"/>
      <c r="B30" s="281"/>
      <c r="C30" s="267"/>
      <c r="D30" s="268"/>
      <c r="E30" s="269"/>
      <c r="F30" s="284"/>
    </row>
    <row r="31" spans="1:6" s="11" customFormat="1" ht="15" customHeight="1">
      <c r="A31" s="278" t="s">
        <v>360</v>
      </c>
      <c r="B31" s="279"/>
      <c r="C31" s="1840" t="s">
        <v>725</v>
      </c>
      <c r="D31" s="1841"/>
      <c r="E31" s="1841"/>
      <c r="F31" s="1842"/>
    </row>
    <row r="32" spans="1:6" ht="5.25" customHeight="1">
      <c r="A32" s="280"/>
      <c r="B32" s="281"/>
      <c r="C32" s="303"/>
      <c r="D32" s="304"/>
      <c r="E32" s="305"/>
      <c r="F32" s="306"/>
    </row>
    <row r="33" spans="1:6" s="12" customFormat="1" ht="12" customHeight="1">
      <c r="A33" s="296" t="s">
        <v>340</v>
      </c>
      <c r="B33" s="307"/>
      <c r="C33" s="308" t="s">
        <v>581</v>
      </c>
      <c r="D33" s="309"/>
      <c r="E33" s="310"/>
      <c r="F33" s="284"/>
    </row>
    <row r="34" spans="1:6" s="12" customFormat="1" ht="4.5" customHeight="1">
      <c r="A34" s="296"/>
      <c r="B34" s="307"/>
      <c r="C34" s="308"/>
      <c r="D34" s="309"/>
      <c r="E34" s="310"/>
      <c r="F34" s="284"/>
    </row>
    <row r="35" spans="1:6" s="12" customFormat="1" ht="12.75" customHeight="1">
      <c r="A35" s="296" t="s">
        <v>316</v>
      </c>
      <c r="B35" s="307"/>
      <c r="C35" s="308" t="s">
        <v>721</v>
      </c>
      <c r="D35" s="298"/>
      <c r="E35" s="298"/>
      <c r="F35" s="311"/>
    </row>
    <row r="36" spans="1:6" s="12" customFormat="1" ht="9.75" customHeight="1">
      <c r="A36" s="296"/>
      <c r="B36" s="307"/>
      <c r="C36" s="153" t="s">
        <v>864</v>
      </c>
      <c r="D36" s="299">
        <f>D40+D44+D48+D52</f>
        <v>17238</v>
      </c>
      <c r="E36" s="299"/>
      <c r="F36" s="287">
        <f>E36+D36</f>
        <v>17238</v>
      </c>
    </row>
    <row r="37" spans="1:6" s="12" customFormat="1" ht="9.75" customHeight="1">
      <c r="A37" s="296"/>
      <c r="B37" s="307"/>
      <c r="C37" s="153" t="s">
        <v>865</v>
      </c>
      <c r="D37" s="299">
        <f>D41+D45+D49+D53</f>
        <v>11000</v>
      </c>
      <c r="E37" s="299"/>
      <c r="F37" s="287">
        <f aca="true" t="shared" si="2" ref="F37:F94">E37+D37</f>
        <v>11000</v>
      </c>
    </row>
    <row r="38" spans="1:6" s="12" customFormat="1" ht="9.75" customHeight="1">
      <c r="A38" s="296"/>
      <c r="B38" s="307"/>
      <c r="C38" s="153" t="s">
        <v>866</v>
      </c>
      <c r="D38" s="299">
        <f>D42+D46+D50+D54</f>
        <v>14220</v>
      </c>
      <c r="E38" s="299"/>
      <c r="F38" s="287">
        <f>E38+D38</f>
        <v>14220</v>
      </c>
    </row>
    <row r="39" spans="1:6" ht="10.5" customHeight="1">
      <c r="A39" s="280"/>
      <c r="B39" s="281" t="s">
        <v>316</v>
      </c>
      <c r="C39" s="312" t="s">
        <v>579</v>
      </c>
      <c r="D39" s="286"/>
      <c r="E39" s="286"/>
      <c r="F39" s="287"/>
    </row>
    <row r="40" spans="1:6" ht="10.5" customHeight="1">
      <c r="A40" s="280"/>
      <c r="B40" s="281"/>
      <c r="C40" s="153" t="s">
        <v>864</v>
      </c>
      <c r="D40" s="286">
        <v>13500</v>
      </c>
      <c r="E40" s="286"/>
      <c r="F40" s="287">
        <f t="shared" si="2"/>
        <v>13500</v>
      </c>
    </row>
    <row r="41" spans="1:6" ht="10.5" customHeight="1">
      <c r="A41" s="280"/>
      <c r="B41" s="281"/>
      <c r="C41" s="153" t="s">
        <v>865</v>
      </c>
      <c r="D41" s="286">
        <v>10500</v>
      </c>
      <c r="E41" s="286"/>
      <c r="F41" s="287">
        <f t="shared" si="2"/>
        <v>10500</v>
      </c>
    </row>
    <row r="42" spans="1:6" ht="10.5" customHeight="1">
      <c r="A42" s="280"/>
      <c r="B42" s="281"/>
      <c r="C42" s="153" t="s">
        <v>866</v>
      </c>
      <c r="D42" s="286">
        <f>14220-D54</f>
        <v>13780</v>
      </c>
      <c r="E42" s="286"/>
      <c r="F42" s="287">
        <f t="shared" si="2"/>
        <v>13780</v>
      </c>
    </row>
    <row r="43" spans="1:11" ht="10.5" customHeight="1">
      <c r="A43" s="280"/>
      <c r="B43" s="281" t="s">
        <v>318</v>
      </c>
      <c r="C43" s="312" t="s">
        <v>476</v>
      </c>
      <c r="D43" s="286"/>
      <c r="E43" s="286"/>
      <c r="F43" s="287"/>
      <c r="H43" s="51"/>
      <c r="I43" s="51"/>
      <c r="J43" s="51"/>
      <c r="K43" s="51"/>
    </row>
    <row r="44" spans="1:11" ht="10.5" customHeight="1">
      <c r="A44" s="280"/>
      <c r="B44" s="281"/>
      <c r="C44" s="153" t="s">
        <v>864</v>
      </c>
      <c r="D44" s="286">
        <v>1500</v>
      </c>
      <c r="E44" s="286"/>
      <c r="F44" s="287">
        <f t="shared" si="2"/>
        <v>1500</v>
      </c>
      <c r="H44" s="51"/>
      <c r="I44" s="51"/>
      <c r="J44" s="51"/>
      <c r="K44" s="51"/>
    </row>
    <row r="45" spans="1:11" ht="10.5" customHeight="1">
      <c r="A45" s="280"/>
      <c r="B45" s="281"/>
      <c r="C45" s="153" t="s">
        <v>865</v>
      </c>
      <c r="D45" s="286">
        <v>0</v>
      </c>
      <c r="E45" s="286"/>
      <c r="F45" s="287">
        <f t="shared" si="2"/>
        <v>0</v>
      </c>
      <c r="H45" s="51"/>
      <c r="I45" s="51"/>
      <c r="J45" s="51"/>
      <c r="K45" s="51"/>
    </row>
    <row r="46" spans="1:11" ht="10.5" customHeight="1">
      <c r="A46" s="280"/>
      <c r="B46" s="281"/>
      <c r="C46" s="153" t="s">
        <v>866</v>
      </c>
      <c r="D46" s="286">
        <v>0</v>
      </c>
      <c r="E46" s="286"/>
      <c r="F46" s="287">
        <f t="shared" si="2"/>
        <v>0</v>
      </c>
      <c r="H46" s="51"/>
      <c r="I46" s="51"/>
      <c r="J46" s="51"/>
      <c r="K46" s="51"/>
    </row>
    <row r="47" spans="1:11" ht="10.5" customHeight="1">
      <c r="A47" s="280"/>
      <c r="B47" s="281" t="s">
        <v>319</v>
      </c>
      <c r="C47" s="312" t="s">
        <v>547</v>
      </c>
      <c r="D47" s="286"/>
      <c r="E47" s="286"/>
      <c r="F47" s="287"/>
      <c r="H47" s="26"/>
      <c r="I47" s="52"/>
      <c r="J47" s="52"/>
      <c r="K47" s="53"/>
    </row>
    <row r="48" spans="1:11" ht="10.5" customHeight="1">
      <c r="A48" s="280"/>
      <c r="B48" s="281"/>
      <c r="C48" s="153" t="s">
        <v>864</v>
      </c>
      <c r="D48" s="286">
        <v>1738</v>
      </c>
      <c r="E48" s="286"/>
      <c r="F48" s="287">
        <f t="shared" si="2"/>
        <v>1738</v>
      </c>
      <c r="H48" s="26"/>
      <c r="I48" s="52"/>
      <c r="J48" s="52"/>
      <c r="K48" s="53"/>
    </row>
    <row r="49" spans="1:11" ht="10.5" customHeight="1">
      <c r="A49" s="280"/>
      <c r="B49" s="281"/>
      <c r="C49" s="153" t="s">
        <v>865</v>
      </c>
      <c r="D49" s="286">
        <v>0</v>
      </c>
      <c r="E49" s="286"/>
      <c r="F49" s="287">
        <f t="shared" si="2"/>
        <v>0</v>
      </c>
      <c r="H49" s="26"/>
      <c r="I49" s="52"/>
      <c r="J49" s="52"/>
      <c r="K49" s="53"/>
    </row>
    <row r="50" spans="1:11" ht="10.5" customHeight="1">
      <c r="A50" s="280"/>
      <c r="B50" s="281"/>
      <c r="C50" s="153" t="s">
        <v>866</v>
      </c>
      <c r="D50" s="286">
        <v>0</v>
      </c>
      <c r="E50" s="286"/>
      <c r="F50" s="287">
        <f t="shared" si="2"/>
        <v>0</v>
      </c>
      <c r="H50" s="26"/>
      <c r="I50" s="52"/>
      <c r="J50" s="52"/>
      <c r="K50" s="53"/>
    </row>
    <row r="51" spans="1:11" ht="10.5" customHeight="1">
      <c r="A51" s="280"/>
      <c r="B51" s="281" t="s">
        <v>321</v>
      </c>
      <c r="C51" s="312" t="s">
        <v>595</v>
      </c>
      <c r="D51" s="286"/>
      <c r="E51" s="286"/>
      <c r="F51" s="287"/>
      <c r="H51" s="26"/>
      <c r="I51" s="52"/>
      <c r="J51" s="52"/>
      <c r="K51" s="53"/>
    </row>
    <row r="52" spans="1:11" ht="10.5" customHeight="1">
      <c r="A52" s="280"/>
      <c r="B52" s="281"/>
      <c r="C52" s="153" t="s">
        <v>864</v>
      </c>
      <c r="D52" s="286">
        <v>500</v>
      </c>
      <c r="E52" s="286"/>
      <c r="F52" s="287">
        <f t="shared" si="2"/>
        <v>500</v>
      </c>
      <c r="H52" s="26"/>
      <c r="I52" s="52"/>
      <c r="J52" s="52"/>
      <c r="K52" s="53"/>
    </row>
    <row r="53" spans="1:11" ht="10.5" customHeight="1">
      <c r="A53" s="280"/>
      <c r="B53" s="281"/>
      <c r="C53" s="153" t="s">
        <v>865</v>
      </c>
      <c r="D53" s="286">
        <v>500</v>
      </c>
      <c r="E53" s="286"/>
      <c r="F53" s="287">
        <f t="shared" si="2"/>
        <v>500</v>
      </c>
      <c r="H53" s="26"/>
      <c r="I53" s="52"/>
      <c r="J53" s="52"/>
      <c r="K53" s="53"/>
    </row>
    <row r="54" spans="1:11" ht="10.5" customHeight="1">
      <c r="A54" s="280"/>
      <c r="B54" s="281"/>
      <c r="C54" s="153" t="s">
        <v>866</v>
      </c>
      <c r="D54" s="286">
        <v>440</v>
      </c>
      <c r="E54" s="286"/>
      <c r="F54" s="287">
        <f t="shared" si="2"/>
        <v>440</v>
      </c>
      <c r="H54" s="26"/>
      <c r="I54" s="52"/>
      <c r="J54" s="52"/>
      <c r="K54" s="53"/>
    </row>
    <row r="55" spans="1:11" ht="10.5" customHeight="1">
      <c r="A55" s="296" t="s">
        <v>318</v>
      </c>
      <c r="B55" s="307"/>
      <c r="C55" s="313" t="s">
        <v>722</v>
      </c>
      <c r="D55" s="299"/>
      <c r="E55" s="299"/>
      <c r="F55" s="287"/>
      <c r="H55" s="26"/>
      <c r="I55" s="52"/>
      <c r="J55" s="52"/>
      <c r="K55" s="53"/>
    </row>
    <row r="56" spans="1:11" ht="10.5" customHeight="1">
      <c r="A56" s="296"/>
      <c r="B56" s="307"/>
      <c r="C56" s="153" t="s">
        <v>864</v>
      </c>
      <c r="D56" s="299">
        <f>D60+D64+D80+D84+D88+D92</f>
        <v>941574</v>
      </c>
      <c r="E56" s="299"/>
      <c r="F56" s="287">
        <f t="shared" si="2"/>
        <v>941574</v>
      </c>
      <c r="H56" s="26"/>
      <c r="I56" s="52"/>
      <c r="J56" s="52"/>
      <c r="K56" s="53"/>
    </row>
    <row r="57" spans="1:11" ht="10.5" customHeight="1">
      <c r="A57" s="296"/>
      <c r="B57" s="307"/>
      <c r="C57" s="153" t="s">
        <v>865</v>
      </c>
      <c r="D57" s="299">
        <f>D61+D65+D81+D85+D89+D93+D97+D101</f>
        <v>953321</v>
      </c>
      <c r="E57" s="299"/>
      <c r="F57" s="287">
        <f t="shared" si="2"/>
        <v>953321</v>
      </c>
      <c r="H57" s="26"/>
      <c r="I57" s="52"/>
      <c r="J57" s="52"/>
      <c r="K57" s="53"/>
    </row>
    <row r="58" spans="1:11" ht="10.5" customHeight="1">
      <c r="A58" s="296"/>
      <c r="B58" s="307"/>
      <c r="C58" s="153" t="s">
        <v>866</v>
      </c>
      <c r="D58" s="299">
        <f>D62+D66+D82+D86+D90+D94+D98+D102</f>
        <v>1012016</v>
      </c>
      <c r="E58" s="299"/>
      <c r="F58" s="287">
        <f>E58+D58</f>
        <v>1012016</v>
      </c>
      <c r="H58" s="26"/>
      <c r="I58" s="52"/>
      <c r="J58" s="52"/>
      <c r="K58" s="53"/>
    </row>
    <row r="59" spans="1:11" ht="10.5" customHeight="1">
      <c r="A59" s="280" t="s">
        <v>446</v>
      </c>
      <c r="B59" s="281" t="s">
        <v>316</v>
      </c>
      <c r="C59" s="288" t="s">
        <v>365</v>
      </c>
      <c r="D59" s="286"/>
      <c r="E59" s="299"/>
      <c r="F59" s="287"/>
      <c r="H59" s="26"/>
      <c r="I59" s="52"/>
      <c r="J59" s="52"/>
      <c r="K59" s="53"/>
    </row>
    <row r="60" spans="1:11" ht="10.5" customHeight="1">
      <c r="A60" s="280"/>
      <c r="B60" s="281"/>
      <c r="C60" s="153" t="s">
        <v>864</v>
      </c>
      <c r="D60" s="286">
        <v>135000</v>
      </c>
      <c r="E60" s="299"/>
      <c r="F60" s="287">
        <f t="shared" si="2"/>
        <v>135000</v>
      </c>
      <c r="H60" s="26"/>
      <c r="I60" s="52"/>
      <c r="J60" s="52"/>
      <c r="K60" s="53"/>
    </row>
    <row r="61" spans="1:11" ht="10.5" customHeight="1">
      <c r="A61" s="280"/>
      <c r="B61" s="281"/>
      <c r="C61" s="153" t="s">
        <v>865</v>
      </c>
      <c r="D61" s="286">
        <v>135000</v>
      </c>
      <c r="E61" s="299"/>
      <c r="F61" s="287">
        <f t="shared" si="2"/>
        <v>135000</v>
      </c>
      <c r="H61" s="26"/>
      <c r="I61" s="52"/>
      <c r="J61" s="52"/>
      <c r="K61" s="53"/>
    </row>
    <row r="62" spans="1:11" ht="10.5" customHeight="1">
      <c r="A62" s="280"/>
      <c r="B62" s="281"/>
      <c r="C62" s="153" t="s">
        <v>866</v>
      </c>
      <c r="D62" s="286">
        <v>148673</v>
      </c>
      <c r="E62" s="299"/>
      <c r="F62" s="287">
        <f t="shared" si="2"/>
        <v>148673</v>
      </c>
      <c r="H62" s="26"/>
      <c r="I62" s="52"/>
      <c r="J62" s="52"/>
      <c r="K62" s="53"/>
    </row>
    <row r="63" spans="1:11" ht="10.5" customHeight="1">
      <c r="A63" s="280" t="s">
        <v>446</v>
      </c>
      <c r="B63" s="281" t="s">
        <v>318</v>
      </c>
      <c r="C63" s="288" t="s">
        <v>320</v>
      </c>
      <c r="D63" s="286"/>
      <c r="E63" s="286"/>
      <c r="F63" s="287"/>
      <c r="H63" s="26"/>
      <c r="I63" s="52"/>
      <c r="J63" s="52"/>
      <c r="K63" s="53"/>
    </row>
    <row r="64" spans="1:11" ht="10.5" customHeight="1">
      <c r="A64" s="280"/>
      <c r="B64" s="281"/>
      <c r="C64" s="153" t="s">
        <v>864</v>
      </c>
      <c r="D64" s="286">
        <f>D68+D72+D76</f>
        <v>512500</v>
      </c>
      <c r="E64" s="286"/>
      <c r="F64" s="287">
        <f t="shared" si="2"/>
        <v>512500</v>
      </c>
      <c r="H64" s="26"/>
      <c r="I64" s="52"/>
      <c r="J64" s="52"/>
      <c r="K64" s="53"/>
    </row>
    <row r="65" spans="1:11" ht="10.5" customHeight="1">
      <c r="A65" s="280"/>
      <c r="B65" s="281"/>
      <c r="C65" s="153" t="s">
        <v>865</v>
      </c>
      <c r="D65" s="286">
        <f>D69+D73+D77</f>
        <v>512500</v>
      </c>
      <c r="E65" s="286"/>
      <c r="F65" s="287">
        <f t="shared" si="2"/>
        <v>512500</v>
      </c>
      <c r="H65" s="26"/>
      <c r="I65" s="52"/>
      <c r="J65" s="52"/>
      <c r="K65" s="53"/>
    </row>
    <row r="66" spans="1:11" ht="10.5" customHeight="1">
      <c r="A66" s="280"/>
      <c r="B66" s="281"/>
      <c r="C66" s="153" t="s">
        <v>866</v>
      </c>
      <c r="D66" s="286">
        <f>D70+D74+D78</f>
        <v>557620</v>
      </c>
      <c r="E66" s="286"/>
      <c r="F66" s="287">
        <f t="shared" si="2"/>
        <v>557620</v>
      </c>
      <c r="H66" s="26"/>
      <c r="I66" s="52"/>
      <c r="J66" s="52"/>
      <c r="K66" s="53"/>
    </row>
    <row r="67" spans="1:11" s="60" customFormat="1" ht="10.5" customHeight="1">
      <c r="A67" s="314"/>
      <c r="B67" s="315" t="s">
        <v>672</v>
      </c>
      <c r="C67" s="316" t="s">
        <v>867</v>
      </c>
      <c r="D67" s="317"/>
      <c r="E67" s="317"/>
      <c r="F67" s="318"/>
      <c r="H67" s="61"/>
      <c r="I67" s="62"/>
      <c r="J67" s="62"/>
      <c r="K67" s="63"/>
    </row>
    <row r="68" spans="1:11" s="60" customFormat="1" ht="10.5" customHeight="1">
      <c r="A68" s="314"/>
      <c r="B68" s="315"/>
      <c r="C68" s="160" t="s">
        <v>864</v>
      </c>
      <c r="D68" s="317">
        <v>450000</v>
      </c>
      <c r="E68" s="317"/>
      <c r="F68" s="318">
        <f t="shared" si="2"/>
        <v>450000</v>
      </c>
      <c r="H68" s="61"/>
      <c r="I68" s="62"/>
      <c r="J68" s="62"/>
      <c r="K68" s="63"/>
    </row>
    <row r="69" spans="1:11" s="60" customFormat="1" ht="10.5" customHeight="1">
      <c r="A69" s="314"/>
      <c r="B69" s="315"/>
      <c r="C69" s="160" t="s">
        <v>865</v>
      </c>
      <c r="D69" s="317">
        <v>450000</v>
      </c>
      <c r="E69" s="317"/>
      <c r="F69" s="318">
        <f t="shared" si="2"/>
        <v>450000</v>
      </c>
      <c r="H69" s="61"/>
      <c r="I69" s="62"/>
      <c r="J69" s="62"/>
      <c r="K69" s="63"/>
    </row>
    <row r="70" spans="1:11" s="60" customFormat="1" ht="10.5" customHeight="1">
      <c r="A70" s="314"/>
      <c r="B70" s="315"/>
      <c r="C70" s="160" t="s">
        <v>866</v>
      </c>
      <c r="D70" s="317">
        <v>494403</v>
      </c>
      <c r="E70" s="317"/>
      <c r="F70" s="318">
        <f t="shared" si="2"/>
        <v>494403</v>
      </c>
      <c r="H70" s="61"/>
      <c r="I70" s="62"/>
      <c r="J70" s="62"/>
      <c r="K70" s="63"/>
    </row>
    <row r="71" spans="1:11" s="60" customFormat="1" ht="10.5" customHeight="1">
      <c r="A71" s="314"/>
      <c r="B71" s="315" t="s">
        <v>446</v>
      </c>
      <c r="C71" s="316" t="s">
        <v>723</v>
      </c>
      <c r="D71" s="317"/>
      <c r="E71" s="317"/>
      <c r="F71" s="318"/>
      <c r="H71" s="61"/>
      <c r="I71" s="62"/>
      <c r="J71" s="62"/>
      <c r="K71" s="63"/>
    </row>
    <row r="72" spans="1:11" s="60" customFormat="1" ht="10.5" customHeight="1">
      <c r="A72" s="314"/>
      <c r="B72" s="315"/>
      <c r="C72" s="160" t="s">
        <v>864</v>
      </c>
      <c r="D72" s="317">
        <v>60000</v>
      </c>
      <c r="E72" s="317"/>
      <c r="F72" s="318">
        <f t="shared" si="2"/>
        <v>60000</v>
      </c>
      <c r="H72" s="61"/>
      <c r="I72" s="62"/>
      <c r="J72" s="62"/>
      <c r="K72" s="63"/>
    </row>
    <row r="73" spans="1:11" s="60" customFormat="1" ht="10.5" customHeight="1">
      <c r="A73" s="314"/>
      <c r="B73" s="315"/>
      <c r="C73" s="160" t="s">
        <v>865</v>
      </c>
      <c r="D73" s="317">
        <v>60000</v>
      </c>
      <c r="E73" s="317"/>
      <c r="F73" s="318">
        <f t="shared" si="2"/>
        <v>60000</v>
      </c>
      <c r="H73" s="61"/>
      <c r="I73" s="62"/>
      <c r="J73" s="62"/>
      <c r="K73" s="63"/>
    </row>
    <row r="74" spans="1:11" s="60" customFormat="1" ht="10.5" customHeight="1">
      <c r="A74" s="314"/>
      <c r="B74" s="315"/>
      <c r="C74" s="160" t="s">
        <v>866</v>
      </c>
      <c r="D74" s="317">
        <v>60386</v>
      </c>
      <c r="E74" s="317"/>
      <c r="F74" s="318">
        <f t="shared" si="2"/>
        <v>60386</v>
      </c>
      <c r="H74" s="61"/>
      <c r="I74" s="62"/>
      <c r="J74" s="62"/>
      <c r="K74" s="63"/>
    </row>
    <row r="75" spans="1:11" s="60" customFormat="1" ht="10.5" customHeight="1">
      <c r="A75" s="314"/>
      <c r="B75" s="315" t="s">
        <v>446</v>
      </c>
      <c r="C75" s="316" t="s">
        <v>724</v>
      </c>
      <c r="D75" s="317"/>
      <c r="E75" s="317"/>
      <c r="F75" s="318"/>
      <c r="H75" s="61"/>
      <c r="I75" s="62"/>
      <c r="J75" s="62"/>
      <c r="K75" s="63"/>
    </row>
    <row r="76" spans="1:11" s="60" customFormat="1" ht="10.5" customHeight="1">
      <c r="A76" s="314"/>
      <c r="B76" s="315"/>
      <c r="C76" s="160" t="s">
        <v>864</v>
      </c>
      <c r="D76" s="317">
        <v>2500</v>
      </c>
      <c r="E76" s="317"/>
      <c r="F76" s="318">
        <f t="shared" si="2"/>
        <v>2500</v>
      </c>
      <c r="H76" s="61"/>
      <c r="I76" s="62"/>
      <c r="J76" s="62"/>
      <c r="K76" s="63"/>
    </row>
    <row r="77" spans="1:11" s="60" customFormat="1" ht="10.5" customHeight="1">
      <c r="A77" s="314"/>
      <c r="B77" s="315"/>
      <c r="C77" s="160" t="s">
        <v>865</v>
      </c>
      <c r="D77" s="317">
        <v>2500</v>
      </c>
      <c r="E77" s="317"/>
      <c r="F77" s="318">
        <f t="shared" si="2"/>
        <v>2500</v>
      </c>
      <c r="H77" s="61"/>
      <c r="I77" s="62"/>
      <c r="J77" s="62"/>
      <c r="K77" s="63"/>
    </row>
    <row r="78" spans="1:11" s="60" customFormat="1" ht="10.5" customHeight="1">
      <c r="A78" s="314"/>
      <c r="B78" s="315"/>
      <c r="C78" s="160" t="s">
        <v>866</v>
      </c>
      <c r="D78" s="317">
        <v>2831</v>
      </c>
      <c r="E78" s="317"/>
      <c r="F78" s="318">
        <f t="shared" si="2"/>
        <v>2831</v>
      </c>
      <c r="H78" s="61"/>
      <c r="I78" s="62"/>
      <c r="J78" s="62"/>
      <c r="K78" s="63"/>
    </row>
    <row r="79" spans="1:11" ht="10.5" customHeight="1">
      <c r="A79" s="280" t="s">
        <v>446</v>
      </c>
      <c r="B79" s="281" t="s">
        <v>319</v>
      </c>
      <c r="C79" s="288" t="s">
        <v>366</v>
      </c>
      <c r="D79" s="286"/>
      <c r="E79" s="299"/>
      <c r="F79" s="287"/>
      <c r="H79" s="51"/>
      <c r="I79" s="51"/>
      <c r="J79" s="51"/>
      <c r="K79" s="51"/>
    </row>
    <row r="80" spans="1:11" ht="10.5" customHeight="1">
      <c r="A80" s="280"/>
      <c r="B80" s="281"/>
      <c r="C80" s="153" t="s">
        <v>864</v>
      </c>
      <c r="D80" s="286">
        <v>97430</v>
      </c>
      <c r="E80" s="299"/>
      <c r="F80" s="287">
        <f t="shared" si="2"/>
        <v>97430</v>
      </c>
      <c r="H80" s="51"/>
      <c r="I80" s="51"/>
      <c r="J80" s="51"/>
      <c r="K80" s="51"/>
    </row>
    <row r="81" spans="1:11" ht="10.5" customHeight="1">
      <c r="A81" s="280"/>
      <c r="B81" s="281"/>
      <c r="C81" s="153" t="s">
        <v>865</v>
      </c>
      <c r="D81" s="286">
        <v>97430</v>
      </c>
      <c r="E81" s="299"/>
      <c r="F81" s="287">
        <f t="shared" si="2"/>
        <v>97430</v>
      </c>
      <c r="H81" s="51"/>
      <c r="I81" s="51"/>
      <c r="J81" s="51"/>
      <c r="K81" s="51"/>
    </row>
    <row r="82" spans="1:11" ht="10.5" customHeight="1">
      <c r="A82" s="280"/>
      <c r="B82" s="281"/>
      <c r="C82" s="153" t="s">
        <v>866</v>
      </c>
      <c r="D82" s="286">
        <v>97430</v>
      </c>
      <c r="E82" s="299"/>
      <c r="F82" s="287">
        <f t="shared" si="2"/>
        <v>97430</v>
      </c>
      <c r="H82" s="51"/>
      <c r="I82" s="51"/>
      <c r="J82" s="51"/>
      <c r="K82" s="51"/>
    </row>
    <row r="83" spans="1:6" ht="10.5" customHeight="1">
      <c r="A83" s="280" t="s">
        <v>672</v>
      </c>
      <c r="B83" s="281" t="s">
        <v>321</v>
      </c>
      <c r="C83" s="288" t="s">
        <v>475</v>
      </c>
      <c r="D83" s="286"/>
      <c r="E83" s="299"/>
      <c r="F83" s="287"/>
    </row>
    <row r="84" spans="1:6" ht="10.5" customHeight="1">
      <c r="A84" s="280"/>
      <c r="B84" s="281"/>
      <c r="C84" s="153" t="s">
        <v>864</v>
      </c>
      <c r="D84" s="286">
        <v>196144</v>
      </c>
      <c r="E84" s="299"/>
      <c r="F84" s="287">
        <f t="shared" si="2"/>
        <v>196144</v>
      </c>
    </row>
    <row r="85" spans="1:6" ht="10.5" customHeight="1">
      <c r="A85" s="280"/>
      <c r="B85" s="281"/>
      <c r="C85" s="153" t="s">
        <v>865</v>
      </c>
      <c r="D85" s="286">
        <v>196144</v>
      </c>
      <c r="E85" s="299"/>
      <c r="F85" s="287">
        <f t="shared" si="2"/>
        <v>196144</v>
      </c>
    </row>
    <row r="86" spans="1:6" ht="10.5" customHeight="1">
      <c r="A86" s="280"/>
      <c r="B86" s="281"/>
      <c r="C86" s="153" t="s">
        <v>866</v>
      </c>
      <c r="D86" s="286">
        <v>196144</v>
      </c>
      <c r="E86" s="299"/>
      <c r="F86" s="287">
        <f t="shared" si="2"/>
        <v>196144</v>
      </c>
    </row>
    <row r="87" spans="1:6" ht="10.5" customHeight="1">
      <c r="A87" s="280" t="s">
        <v>446</v>
      </c>
      <c r="B87" s="281" t="s">
        <v>322</v>
      </c>
      <c r="C87" s="288" t="s">
        <v>367</v>
      </c>
      <c r="D87" s="286"/>
      <c r="E87" s="286"/>
      <c r="F87" s="287"/>
    </row>
    <row r="88" spans="1:6" ht="10.5" customHeight="1">
      <c r="A88" s="280"/>
      <c r="B88" s="281"/>
      <c r="C88" s="153" t="s">
        <v>864</v>
      </c>
      <c r="D88" s="286">
        <v>500</v>
      </c>
      <c r="E88" s="286"/>
      <c r="F88" s="287">
        <f t="shared" si="2"/>
        <v>500</v>
      </c>
    </row>
    <row r="89" spans="1:6" ht="10.5" customHeight="1">
      <c r="A89" s="280"/>
      <c r="B89" s="281"/>
      <c r="C89" s="153" t="s">
        <v>865</v>
      </c>
      <c r="D89" s="286">
        <v>500</v>
      </c>
      <c r="E89" s="286"/>
      <c r="F89" s="287">
        <f t="shared" si="2"/>
        <v>500</v>
      </c>
    </row>
    <row r="90" spans="1:6" ht="10.5" customHeight="1">
      <c r="A90" s="280"/>
      <c r="B90" s="281"/>
      <c r="C90" s="153" t="s">
        <v>866</v>
      </c>
      <c r="D90" s="286">
        <v>375</v>
      </c>
      <c r="E90" s="286"/>
      <c r="F90" s="287">
        <f t="shared" si="2"/>
        <v>375</v>
      </c>
    </row>
    <row r="91" spans="1:6" ht="10.5" customHeight="1">
      <c r="A91" s="280"/>
      <c r="B91" s="281" t="s">
        <v>323</v>
      </c>
      <c r="C91" s="877" t="s">
        <v>1041</v>
      </c>
      <c r="D91" s="286"/>
      <c r="E91" s="286"/>
      <c r="F91" s="287"/>
    </row>
    <row r="92" spans="1:6" ht="10.5" customHeight="1">
      <c r="A92" s="280"/>
      <c r="B92" s="281"/>
      <c r="C92" s="153" t="s">
        <v>864</v>
      </c>
      <c r="D92" s="286">
        <v>0</v>
      </c>
      <c r="E92" s="286"/>
      <c r="F92" s="287">
        <f t="shared" si="2"/>
        <v>0</v>
      </c>
    </row>
    <row r="93" spans="1:6" ht="10.5" customHeight="1">
      <c r="A93" s="280"/>
      <c r="B93" s="281"/>
      <c r="C93" s="153" t="s">
        <v>865</v>
      </c>
      <c r="D93" s="286">
        <v>7247</v>
      </c>
      <c r="E93" s="286"/>
      <c r="F93" s="287">
        <f t="shared" si="2"/>
        <v>7247</v>
      </c>
    </row>
    <row r="94" spans="1:6" ht="10.5" customHeight="1">
      <c r="A94" s="280"/>
      <c r="B94" s="281"/>
      <c r="C94" s="153" t="s">
        <v>866</v>
      </c>
      <c r="D94" s="286">
        <f>8461+1153-1</f>
        <v>9613</v>
      </c>
      <c r="E94" s="286"/>
      <c r="F94" s="287">
        <f t="shared" si="2"/>
        <v>9613</v>
      </c>
    </row>
    <row r="95" spans="1:6" ht="10.5" customHeight="1">
      <c r="A95" s="280"/>
      <c r="B95" s="281" t="s">
        <v>324</v>
      </c>
      <c r="C95" s="877" t="s">
        <v>924</v>
      </c>
      <c r="D95" s="286"/>
      <c r="E95" s="286"/>
      <c r="F95" s="287"/>
    </row>
    <row r="96" spans="1:6" ht="10.5" customHeight="1">
      <c r="A96" s="280"/>
      <c r="B96" s="281"/>
      <c r="C96" s="153" t="s">
        <v>864</v>
      </c>
      <c r="D96" s="286">
        <v>0</v>
      </c>
      <c r="E96" s="286"/>
      <c r="F96" s="287">
        <v>0</v>
      </c>
    </row>
    <row r="97" spans="1:6" ht="10.5" customHeight="1">
      <c r="A97" s="280"/>
      <c r="B97" s="281"/>
      <c r="C97" s="153" t="s">
        <v>865</v>
      </c>
      <c r="D97" s="286">
        <v>3000</v>
      </c>
      <c r="E97" s="286"/>
      <c r="F97" s="287">
        <v>3000</v>
      </c>
    </row>
    <row r="98" spans="1:6" ht="10.5" customHeight="1">
      <c r="A98" s="280"/>
      <c r="B98" s="281"/>
      <c r="C98" s="153" t="s">
        <v>866</v>
      </c>
      <c r="D98" s="286">
        <v>2122</v>
      </c>
      <c r="E98" s="286"/>
      <c r="F98" s="287">
        <f>D98</f>
        <v>2122</v>
      </c>
    </row>
    <row r="99" spans="1:6" ht="10.5" customHeight="1">
      <c r="A99" s="280"/>
      <c r="B99" s="281" t="s">
        <v>325</v>
      </c>
      <c r="C99" s="881" t="s">
        <v>476</v>
      </c>
      <c r="D99" s="286"/>
      <c r="E99" s="286"/>
      <c r="F99" s="287"/>
    </row>
    <row r="100" spans="1:6" ht="10.5" customHeight="1">
      <c r="A100" s="280"/>
      <c r="B100" s="281"/>
      <c r="C100" s="153" t="s">
        <v>864</v>
      </c>
      <c r="D100" s="286">
        <v>0</v>
      </c>
      <c r="E100" s="286"/>
      <c r="F100" s="287">
        <v>0</v>
      </c>
    </row>
    <row r="101" spans="1:6" ht="10.5" customHeight="1">
      <c r="A101" s="280"/>
      <c r="B101" s="281"/>
      <c r="C101" s="153" t="s">
        <v>865</v>
      </c>
      <c r="D101" s="286">
        <v>1500</v>
      </c>
      <c r="E101" s="286"/>
      <c r="F101" s="287">
        <v>1500</v>
      </c>
    </row>
    <row r="102" spans="1:6" ht="10.5" customHeight="1" thickBot="1">
      <c r="A102" s="328"/>
      <c r="B102" s="329"/>
      <c r="C102" s="201" t="s">
        <v>866</v>
      </c>
      <c r="D102" s="319">
        <v>39</v>
      </c>
      <c r="E102" s="319"/>
      <c r="F102" s="355">
        <v>39</v>
      </c>
    </row>
    <row r="103" spans="1:6" s="12" customFormat="1" ht="10.5" customHeight="1" thickTop="1">
      <c r="A103" s="292" t="s">
        <v>465</v>
      </c>
      <c r="B103" s="907"/>
      <c r="C103" s="917" t="s">
        <v>616</v>
      </c>
      <c r="D103" s="294"/>
      <c r="E103" s="294"/>
      <c r="F103" s="295"/>
    </row>
    <row r="104" spans="1:6" s="12" customFormat="1" ht="10.5" customHeight="1">
      <c r="A104" s="323"/>
      <c r="B104" s="324"/>
      <c r="C104" s="177" t="s">
        <v>864</v>
      </c>
      <c r="D104" s="325">
        <f>D36+D56</f>
        <v>958812</v>
      </c>
      <c r="E104" s="325"/>
      <c r="F104" s="326">
        <f>E104+D104</f>
        <v>958812</v>
      </c>
    </row>
    <row r="105" spans="1:6" s="12" customFormat="1" ht="10.5" customHeight="1">
      <c r="A105" s="296"/>
      <c r="B105" s="307"/>
      <c r="C105" s="153" t="s">
        <v>865</v>
      </c>
      <c r="D105" s="299">
        <f>D37+D57</f>
        <v>964321</v>
      </c>
      <c r="E105" s="299"/>
      <c r="F105" s="327">
        <f>E105+D105</f>
        <v>964321</v>
      </c>
    </row>
    <row r="106" spans="1:6" ht="10.5" customHeight="1" thickBot="1">
      <c r="A106" s="328"/>
      <c r="B106" s="329"/>
      <c r="C106" s="201" t="s">
        <v>866</v>
      </c>
      <c r="D106" s="302">
        <f>D38+D58</f>
        <v>1026236</v>
      </c>
      <c r="E106" s="330"/>
      <c r="F106" s="331">
        <f>E106+D106</f>
        <v>1026236</v>
      </c>
    </row>
    <row r="107" spans="1:6" s="12" customFormat="1" ht="12" customHeight="1" thickTop="1">
      <c r="A107" s="296" t="s">
        <v>341</v>
      </c>
      <c r="B107" s="307"/>
      <c r="C107" s="332" t="s">
        <v>317</v>
      </c>
      <c r="D107" s="309"/>
      <c r="E107" s="310"/>
      <c r="F107" s="333"/>
    </row>
    <row r="108" spans="1:6" s="12" customFormat="1" ht="13.5" customHeight="1">
      <c r="A108" s="296" t="s">
        <v>316</v>
      </c>
      <c r="B108" s="307" t="s">
        <v>446</v>
      </c>
      <c r="C108" s="334" t="s">
        <v>726</v>
      </c>
      <c r="D108" s="299"/>
      <c r="E108" s="299"/>
      <c r="F108" s="327"/>
    </row>
    <row r="109" spans="1:6" s="12" customFormat="1" ht="9.75" customHeight="1">
      <c r="A109" s="296"/>
      <c r="B109" s="297"/>
      <c r="C109" s="153" t="s">
        <v>864</v>
      </c>
      <c r="D109" s="299">
        <f>D113+D117+D121+D125+D129+D133+D137+D141+D145</f>
        <v>84304</v>
      </c>
      <c r="E109" s="299"/>
      <c r="F109" s="287">
        <f>D109+E109</f>
        <v>84304</v>
      </c>
    </row>
    <row r="110" spans="1:6" s="12" customFormat="1" ht="9.75" customHeight="1">
      <c r="A110" s="296"/>
      <c r="B110" s="297"/>
      <c r="C110" s="153" t="s">
        <v>865</v>
      </c>
      <c r="D110" s="299">
        <f>D114+D118+D122+D126+D130+D134+D138+D142+D146</f>
        <v>51315</v>
      </c>
      <c r="E110" s="299">
        <f>E138</f>
        <v>2700</v>
      </c>
      <c r="F110" s="287">
        <f aca="true" t="shared" si="3" ref="F110:F156">D110+E110</f>
        <v>54015</v>
      </c>
    </row>
    <row r="111" spans="1:6" s="12" customFormat="1" ht="9.75" customHeight="1">
      <c r="A111" s="296"/>
      <c r="B111" s="297"/>
      <c r="C111" s="153" t="s">
        <v>866</v>
      </c>
      <c r="D111" s="299">
        <f>D115+D119+D123+D127+D131+D135+D139+D143+D147+D151</f>
        <v>52270</v>
      </c>
      <c r="E111" s="299">
        <f>E139</f>
        <v>0</v>
      </c>
      <c r="F111" s="287">
        <f>D111+E111</f>
        <v>52270</v>
      </c>
    </row>
    <row r="112" spans="1:6" ht="10.5" customHeight="1">
      <c r="A112" s="280"/>
      <c r="B112" s="266" t="s">
        <v>316</v>
      </c>
      <c r="C112" s="288" t="s">
        <v>361</v>
      </c>
      <c r="D112" s="286"/>
      <c r="E112" s="286"/>
      <c r="F112" s="287"/>
    </row>
    <row r="113" spans="1:6" ht="10.5" customHeight="1">
      <c r="A113" s="280"/>
      <c r="B113" s="266"/>
      <c r="C113" s="153" t="s">
        <v>864</v>
      </c>
      <c r="D113" s="286">
        <v>3853</v>
      </c>
      <c r="E113" s="286"/>
      <c r="F113" s="287">
        <f t="shared" si="3"/>
        <v>3853</v>
      </c>
    </row>
    <row r="114" spans="1:6" ht="10.5" customHeight="1">
      <c r="A114" s="280"/>
      <c r="B114" s="266"/>
      <c r="C114" s="153" t="s">
        <v>865</v>
      </c>
      <c r="D114" s="286">
        <v>4835</v>
      </c>
      <c r="E114" s="286"/>
      <c r="F114" s="287">
        <f t="shared" si="3"/>
        <v>4835</v>
      </c>
    </row>
    <row r="115" spans="1:6" ht="10.5" customHeight="1">
      <c r="A115" s="280"/>
      <c r="B115" s="266"/>
      <c r="C115" s="153" t="s">
        <v>866</v>
      </c>
      <c r="D115" s="286">
        <f>3045+552</f>
        <v>3597</v>
      </c>
      <c r="E115" s="286"/>
      <c r="F115" s="287">
        <f t="shared" si="3"/>
        <v>3597</v>
      </c>
    </row>
    <row r="116" spans="1:6" ht="10.5" customHeight="1">
      <c r="A116" s="280"/>
      <c r="B116" s="266" t="s">
        <v>318</v>
      </c>
      <c r="C116" s="288" t="s">
        <v>362</v>
      </c>
      <c r="D116" s="286"/>
      <c r="E116" s="286"/>
      <c r="F116" s="287"/>
    </row>
    <row r="117" spans="1:6" ht="10.5" customHeight="1">
      <c r="A117" s="280"/>
      <c r="B117" s="266"/>
      <c r="C117" s="153" t="s">
        <v>864</v>
      </c>
      <c r="D117" s="286">
        <v>22492</v>
      </c>
      <c r="E117" s="286"/>
      <c r="F117" s="287">
        <f t="shared" si="3"/>
        <v>22492</v>
      </c>
    </row>
    <row r="118" spans="1:6" ht="10.5" customHeight="1">
      <c r="A118" s="280"/>
      <c r="B118" s="266"/>
      <c r="C118" s="153" t="s">
        <v>865</v>
      </c>
      <c r="D118" s="286">
        <v>22492</v>
      </c>
      <c r="E118" s="286"/>
      <c r="F118" s="287">
        <f t="shared" si="3"/>
        <v>22492</v>
      </c>
    </row>
    <row r="119" spans="1:6" ht="10.5" customHeight="1">
      <c r="A119" s="280"/>
      <c r="B119" s="266"/>
      <c r="C119" s="153" t="s">
        <v>866</v>
      </c>
      <c r="D119" s="286">
        <f>30028-D135</f>
        <v>29831</v>
      </c>
      <c r="E119" s="286"/>
      <c r="F119" s="287">
        <f t="shared" si="3"/>
        <v>29831</v>
      </c>
    </row>
    <row r="120" spans="1:6" ht="10.5" customHeight="1">
      <c r="A120" s="280"/>
      <c r="B120" s="266" t="s">
        <v>319</v>
      </c>
      <c r="C120" s="288" t="s">
        <v>287</v>
      </c>
      <c r="D120" s="286"/>
      <c r="E120" s="286"/>
      <c r="F120" s="287"/>
    </row>
    <row r="121" spans="1:6" ht="10.5" customHeight="1">
      <c r="A121" s="280"/>
      <c r="B121" s="266"/>
      <c r="C121" s="153" t="s">
        <v>864</v>
      </c>
      <c r="D121" s="286">
        <v>5000</v>
      </c>
      <c r="E121" s="286"/>
      <c r="F121" s="287">
        <f t="shared" si="3"/>
        <v>5000</v>
      </c>
    </row>
    <row r="122" spans="1:6" ht="10.5" customHeight="1">
      <c r="A122" s="280"/>
      <c r="B122" s="266"/>
      <c r="C122" s="153" t="s">
        <v>865</v>
      </c>
      <c r="D122" s="286">
        <v>0</v>
      </c>
      <c r="E122" s="286"/>
      <c r="F122" s="287">
        <f t="shared" si="3"/>
        <v>0</v>
      </c>
    </row>
    <row r="123" spans="1:6" ht="10.5" customHeight="1">
      <c r="A123" s="280"/>
      <c r="B123" s="266"/>
      <c r="C123" s="153" t="s">
        <v>866</v>
      </c>
      <c r="D123" s="286">
        <v>0</v>
      </c>
      <c r="E123" s="286"/>
      <c r="F123" s="287">
        <f t="shared" si="3"/>
        <v>0</v>
      </c>
    </row>
    <row r="124" spans="1:6" ht="10.5" customHeight="1">
      <c r="A124" s="280"/>
      <c r="B124" s="266" t="s">
        <v>321</v>
      </c>
      <c r="C124" s="288" t="s">
        <v>546</v>
      </c>
      <c r="D124" s="286"/>
      <c r="E124" s="286"/>
      <c r="F124" s="287"/>
    </row>
    <row r="125" spans="1:6" ht="10.5" customHeight="1">
      <c r="A125" s="280"/>
      <c r="B125" s="266"/>
      <c r="C125" s="153" t="s">
        <v>864</v>
      </c>
      <c r="D125" s="286">
        <v>6090</v>
      </c>
      <c r="E125" s="286"/>
      <c r="F125" s="287">
        <f t="shared" si="3"/>
        <v>6090</v>
      </c>
    </row>
    <row r="126" spans="1:6" ht="10.5" customHeight="1">
      <c r="A126" s="280"/>
      <c r="B126" s="266"/>
      <c r="C126" s="153" t="s">
        <v>865</v>
      </c>
      <c r="D126" s="286">
        <v>6090</v>
      </c>
      <c r="E126" s="286"/>
      <c r="F126" s="287">
        <f t="shared" si="3"/>
        <v>6090</v>
      </c>
    </row>
    <row r="127" spans="1:6" ht="10.5" customHeight="1">
      <c r="A127" s="280"/>
      <c r="B127" s="266"/>
      <c r="C127" s="153" t="s">
        <v>866</v>
      </c>
      <c r="D127" s="286">
        <v>5153</v>
      </c>
      <c r="E127" s="286"/>
      <c r="F127" s="287">
        <f t="shared" si="3"/>
        <v>5153</v>
      </c>
    </row>
    <row r="128" spans="1:6" ht="10.5" customHeight="1">
      <c r="A128" s="280"/>
      <c r="B128" s="266" t="s">
        <v>322</v>
      </c>
      <c r="C128" s="288" t="s">
        <v>363</v>
      </c>
      <c r="D128" s="286"/>
      <c r="E128" s="286"/>
      <c r="F128" s="287"/>
    </row>
    <row r="129" spans="1:6" ht="10.5" customHeight="1">
      <c r="A129" s="280"/>
      <c r="B129" s="266"/>
      <c r="C129" s="153" t="s">
        <v>864</v>
      </c>
      <c r="D129" s="286">
        <v>250</v>
      </c>
      <c r="E129" s="286"/>
      <c r="F129" s="287">
        <f t="shared" si="3"/>
        <v>250</v>
      </c>
    </row>
    <row r="130" spans="1:6" ht="10.5" customHeight="1">
      <c r="A130" s="280"/>
      <c r="B130" s="266"/>
      <c r="C130" s="153" t="s">
        <v>865</v>
      </c>
      <c r="D130" s="286">
        <v>250</v>
      </c>
      <c r="E130" s="286"/>
      <c r="F130" s="287">
        <f t="shared" si="3"/>
        <v>250</v>
      </c>
    </row>
    <row r="131" spans="1:6" ht="10.5" customHeight="1">
      <c r="A131" s="280"/>
      <c r="B131" s="266"/>
      <c r="C131" s="153" t="s">
        <v>866</v>
      </c>
      <c r="D131" s="286">
        <v>396</v>
      </c>
      <c r="E131" s="286"/>
      <c r="F131" s="287">
        <f t="shared" si="3"/>
        <v>396</v>
      </c>
    </row>
    <row r="132" spans="1:6" ht="10.5" customHeight="1">
      <c r="A132" s="280"/>
      <c r="B132" s="266" t="s">
        <v>323</v>
      </c>
      <c r="C132" s="288" t="s">
        <v>464</v>
      </c>
      <c r="D132" s="286"/>
      <c r="E132" s="286"/>
      <c r="F132" s="287"/>
    </row>
    <row r="133" spans="1:6" ht="10.5" customHeight="1">
      <c r="A133" s="280"/>
      <c r="B133" s="266"/>
      <c r="C133" s="153" t="s">
        <v>864</v>
      </c>
      <c r="D133" s="286">
        <v>135</v>
      </c>
      <c r="E133" s="286"/>
      <c r="F133" s="287">
        <f t="shared" si="3"/>
        <v>135</v>
      </c>
    </row>
    <row r="134" spans="1:6" ht="10.5" customHeight="1">
      <c r="A134" s="280"/>
      <c r="B134" s="266"/>
      <c r="C134" s="153" t="s">
        <v>865</v>
      </c>
      <c r="D134" s="286">
        <v>135</v>
      </c>
      <c r="E134" s="286"/>
      <c r="F134" s="287">
        <f t="shared" si="3"/>
        <v>135</v>
      </c>
    </row>
    <row r="135" spans="1:6" ht="10.5" customHeight="1">
      <c r="A135" s="280"/>
      <c r="B135" s="266"/>
      <c r="C135" s="153" t="s">
        <v>866</v>
      </c>
      <c r="D135" s="286">
        <v>197</v>
      </c>
      <c r="E135" s="286"/>
      <c r="F135" s="287">
        <f t="shared" si="3"/>
        <v>197</v>
      </c>
    </row>
    <row r="136" spans="1:6" ht="10.5" customHeight="1">
      <c r="A136" s="280"/>
      <c r="B136" s="266" t="s">
        <v>324</v>
      </c>
      <c r="C136" s="288" t="s">
        <v>911</v>
      </c>
      <c r="D136" s="286"/>
      <c r="E136" s="286"/>
      <c r="F136" s="287"/>
    </row>
    <row r="137" spans="1:6" ht="10.5" customHeight="1">
      <c r="A137" s="280"/>
      <c r="B137" s="266"/>
      <c r="C137" s="153" t="s">
        <v>864</v>
      </c>
      <c r="D137" s="286">
        <v>15000</v>
      </c>
      <c r="E137" s="286"/>
      <c r="F137" s="287">
        <f t="shared" si="3"/>
        <v>15000</v>
      </c>
    </row>
    <row r="138" spans="1:6" ht="10.5" customHeight="1">
      <c r="A138" s="280"/>
      <c r="B138" s="266"/>
      <c r="C138" s="153" t="s">
        <v>865</v>
      </c>
      <c r="D138" s="286">
        <v>15266</v>
      </c>
      <c r="E138" s="286">
        <v>2700</v>
      </c>
      <c r="F138" s="287">
        <f t="shared" si="3"/>
        <v>17966</v>
      </c>
    </row>
    <row r="139" spans="1:6" ht="10.5" customHeight="1">
      <c r="A139" s="280"/>
      <c r="B139" s="266"/>
      <c r="C139" s="153" t="s">
        <v>866</v>
      </c>
      <c r="D139" s="286">
        <v>9894</v>
      </c>
      <c r="E139" s="286">
        <v>0</v>
      </c>
      <c r="F139" s="287">
        <f t="shared" si="3"/>
        <v>9894</v>
      </c>
    </row>
    <row r="140" spans="1:6" ht="10.5" customHeight="1">
      <c r="A140" s="280"/>
      <c r="B140" s="266" t="s">
        <v>325</v>
      </c>
      <c r="C140" s="288" t="s">
        <v>364</v>
      </c>
      <c r="D140" s="286"/>
      <c r="E140" s="286"/>
      <c r="F140" s="287"/>
    </row>
    <row r="141" spans="1:6" ht="10.5" customHeight="1">
      <c r="A141" s="280"/>
      <c r="B141" s="266"/>
      <c r="C141" s="153" t="s">
        <v>864</v>
      </c>
      <c r="D141" s="289">
        <v>2247</v>
      </c>
      <c r="E141" s="289"/>
      <c r="F141" s="287">
        <f t="shared" si="3"/>
        <v>2247</v>
      </c>
    </row>
    <row r="142" spans="1:6" ht="10.5" customHeight="1">
      <c r="A142" s="280"/>
      <c r="B142" s="266"/>
      <c r="C142" s="153" t="s">
        <v>865</v>
      </c>
      <c r="D142" s="286">
        <v>2247</v>
      </c>
      <c r="E142" s="286"/>
      <c r="F142" s="287">
        <f t="shared" si="3"/>
        <v>2247</v>
      </c>
    </row>
    <row r="143" spans="1:6" ht="10.5" customHeight="1">
      <c r="A143" s="280"/>
      <c r="B143" s="266"/>
      <c r="C143" s="153" t="s">
        <v>866</v>
      </c>
      <c r="D143" s="286">
        <v>2801</v>
      </c>
      <c r="E143" s="286"/>
      <c r="F143" s="287">
        <f t="shared" si="3"/>
        <v>2801</v>
      </c>
    </row>
    <row r="144" spans="1:6" ht="10.5" customHeight="1">
      <c r="A144" s="280"/>
      <c r="B144" s="266" t="s">
        <v>326</v>
      </c>
      <c r="C144" s="303" t="s">
        <v>1035</v>
      </c>
      <c r="D144" s="286"/>
      <c r="E144" s="286"/>
      <c r="F144" s="287"/>
    </row>
    <row r="145" spans="1:6" ht="10.5" customHeight="1">
      <c r="A145" s="280"/>
      <c r="B145" s="266"/>
      <c r="C145" s="153" t="s">
        <v>864</v>
      </c>
      <c r="D145" s="286">
        <v>29237</v>
      </c>
      <c r="E145" s="286"/>
      <c r="F145" s="287">
        <f t="shared" si="3"/>
        <v>29237</v>
      </c>
    </row>
    <row r="146" spans="1:6" ht="10.5" customHeight="1">
      <c r="A146" s="280"/>
      <c r="B146" s="266"/>
      <c r="C146" s="153" t="s">
        <v>865</v>
      </c>
      <c r="D146" s="286">
        <v>0</v>
      </c>
      <c r="E146" s="286"/>
      <c r="F146" s="287">
        <f t="shared" si="3"/>
        <v>0</v>
      </c>
    </row>
    <row r="147" spans="1:6" ht="10.5" customHeight="1">
      <c r="A147" s="280"/>
      <c r="B147" s="266"/>
      <c r="C147" s="153" t="s">
        <v>866</v>
      </c>
      <c r="D147" s="286">
        <v>6</v>
      </c>
      <c r="E147" s="286"/>
      <c r="F147" s="287">
        <f t="shared" si="3"/>
        <v>6</v>
      </c>
    </row>
    <row r="148" spans="1:6" ht="10.5" customHeight="1">
      <c r="A148" s="280"/>
      <c r="B148" s="266" t="s">
        <v>327</v>
      </c>
      <c r="C148" s="881" t="s">
        <v>1036</v>
      </c>
      <c r="D148" s="286"/>
      <c r="E148" s="286"/>
      <c r="F148" s="287"/>
    </row>
    <row r="149" spans="1:6" ht="10.5" customHeight="1">
      <c r="A149" s="280"/>
      <c r="B149" s="266"/>
      <c r="C149" s="153" t="s">
        <v>864</v>
      </c>
      <c r="D149" s="286">
        <v>0</v>
      </c>
      <c r="E149" s="286"/>
      <c r="F149" s="287">
        <v>0</v>
      </c>
    </row>
    <row r="150" spans="1:6" ht="10.5" customHeight="1">
      <c r="A150" s="280"/>
      <c r="B150" s="266"/>
      <c r="C150" s="153" t="s">
        <v>865</v>
      </c>
      <c r="D150" s="286">
        <v>0</v>
      </c>
      <c r="E150" s="286"/>
      <c r="F150" s="287">
        <v>0</v>
      </c>
    </row>
    <row r="151" spans="1:6" ht="10.5" customHeight="1">
      <c r="A151" s="280"/>
      <c r="B151" s="266"/>
      <c r="C151" s="153" t="s">
        <v>866</v>
      </c>
      <c r="D151" s="286">
        <f>38+147+210</f>
        <v>395</v>
      </c>
      <c r="E151" s="286"/>
      <c r="F151" s="287">
        <f>D151</f>
        <v>395</v>
      </c>
    </row>
    <row r="152" spans="1:6" s="12" customFormat="1" ht="12.75" customHeight="1">
      <c r="A152" s="296" t="s">
        <v>318</v>
      </c>
      <c r="B152" s="307"/>
      <c r="C152" s="334" t="s">
        <v>834</v>
      </c>
      <c r="D152" s="299"/>
      <c r="E152" s="299"/>
      <c r="F152" s="287"/>
    </row>
    <row r="153" spans="1:6" s="12" customFormat="1" ht="12.75" customHeight="1">
      <c r="A153" s="296"/>
      <c r="B153" s="281" t="s">
        <v>316</v>
      </c>
      <c r="C153" s="335" t="s">
        <v>910</v>
      </c>
      <c r="D153" s="286"/>
      <c r="E153" s="299"/>
      <c r="F153" s="287"/>
    </row>
    <row r="154" spans="1:6" s="12" customFormat="1" ht="12.75" customHeight="1">
      <c r="A154" s="296"/>
      <c r="B154" s="307"/>
      <c r="C154" s="153" t="s">
        <v>864</v>
      </c>
      <c r="D154" s="286">
        <v>0</v>
      </c>
      <c r="E154" s="299"/>
      <c r="F154" s="287">
        <f t="shared" si="3"/>
        <v>0</v>
      </c>
    </row>
    <row r="155" spans="1:6" s="12" customFormat="1" ht="12.75" customHeight="1">
      <c r="A155" s="296"/>
      <c r="B155" s="307"/>
      <c r="C155" s="153" t="s">
        <v>865</v>
      </c>
      <c r="D155" s="286">
        <v>51164</v>
      </c>
      <c r="E155" s="299"/>
      <c r="F155" s="287">
        <f t="shared" si="3"/>
        <v>51164</v>
      </c>
    </row>
    <row r="156" spans="1:6" ht="10.5" customHeight="1">
      <c r="A156" s="280"/>
      <c r="B156" s="281"/>
      <c r="C156" s="153" t="s">
        <v>866</v>
      </c>
      <c r="D156" s="289">
        <f>51512+6478</f>
        <v>57990</v>
      </c>
      <c r="E156" s="289"/>
      <c r="F156" s="291">
        <f t="shared" si="3"/>
        <v>57990</v>
      </c>
    </row>
    <row r="157" spans="1:6" ht="10.5" customHeight="1">
      <c r="A157" s="280"/>
      <c r="B157" s="281" t="s">
        <v>318</v>
      </c>
      <c r="C157" s="877" t="s">
        <v>547</v>
      </c>
      <c r="D157" s="286"/>
      <c r="E157" s="286"/>
      <c r="F157" s="287"/>
    </row>
    <row r="158" spans="1:6" ht="10.5" customHeight="1">
      <c r="A158" s="280"/>
      <c r="B158" s="281"/>
      <c r="C158" s="153" t="s">
        <v>864</v>
      </c>
      <c r="D158" s="286">
        <v>0</v>
      </c>
      <c r="E158" s="286"/>
      <c r="F158" s="287">
        <v>0</v>
      </c>
    </row>
    <row r="159" spans="1:6" ht="10.5" customHeight="1">
      <c r="A159" s="280"/>
      <c r="B159" s="281"/>
      <c r="C159" s="153" t="s">
        <v>865</v>
      </c>
      <c r="D159" s="286">
        <v>1738</v>
      </c>
      <c r="E159" s="286"/>
      <c r="F159" s="287">
        <v>1738</v>
      </c>
    </row>
    <row r="160" spans="1:6" ht="10.5" customHeight="1">
      <c r="A160" s="280"/>
      <c r="B160" s="281"/>
      <c r="C160" s="153" t="s">
        <v>866</v>
      </c>
      <c r="D160" s="289">
        <v>1953</v>
      </c>
      <c r="E160" s="289"/>
      <c r="F160" s="311">
        <f>D160</f>
        <v>1953</v>
      </c>
    </row>
    <row r="161" spans="1:6" ht="10.5" customHeight="1">
      <c r="A161" s="280"/>
      <c r="B161" s="281" t="s">
        <v>319</v>
      </c>
      <c r="C161" s="288" t="s">
        <v>912</v>
      </c>
      <c r="D161" s="286"/>
      <c r="E161" s="286"/>
      <c r="F161" s="287"/>
    </row>
    <row r="162" spans="1:6" ht="10.5" customHeight="1">
      <c r="A162" s="280"/>
      <c r="B162" s="281"/>
      <c r="C162" s="153" t="s">
        <v>864</v>
      </c>
      <c r="D162" s="286">
        <v>0</v>
      </c>
      <c r="E162" s="286"/>
      <c r="F162" s="287">
        <v>0</v>
      </c>
    </row>
    <row r="163" spans="1:6" ht="10.5" customHeight="1">
      <c r="A163" s="280"/>
      <c r="B163" s="281"/>
      <c r="C163" s="153" t="s">
        <v>865</v>
      </c>
      <c r="D163" s="286">
        <v>76720</v>
      </c>
      <c r="E163" s="286"/>
      <c r="F163" s="287">
        <v>76720</v>
      </c>
    </row>
    <row r="164" spans="1:6" ht="10.5" customHeight="1">
      <c r="A164" s="280"/>
      <c r="B164" s="281"/>
      <c r="C164" s="153" t="s">
        <v>866</v>
      </c>
      <c r="D164" s="289">
        <v>84629</v>
      </c>
      <c r="E164" s="289"/>
      <c r="F164" s="311">
        <f>D164</f>
        <v>84629</v>
      </c>
    </row>
    <row r="165" spans="1:6" ht="10.5" customHeight="1">
      <c r="A165" s="280"/>
      <c r="B165" s="281" t="s">
        <v>321</v>
      </c>
      <c r="C165" s="877" t="s">
        <v>1042</v>
      </c>
      <c r="D165" s="286"/>
      <c r="E165" s="286"/>
      <c r="F165" s="287"/>
    </row>
    <row r="166" spans="1:6" ht="10.5" customHeight="1">
      <c r="A166" s="280"/>
      <c r="B166" s="281"/>
      <c r="C166" s="153" t="s">
        <v>864</v>
      </c>
      <c r="D166" s="286">
        <v>0</v>
      </c>
      <c r="E166" s="286"/>
      <c r="F166" s="287">
        <v>0</v>
      </c>
    </row>
    <row r="167" spans="1:6" ht="10.5" customHeight="1">
      <c r="A167" s="280"/>
      <c r="B167" s="281"/>
      <c r="C167" s="153" t="s">
        <v>865</v>
      </c>
      <c r="D167" s="286">
        <v>3110</v>
      </c>
      <c r="E167" s="286"/>
      <c r="F167" s="287">
        <v>3110</v>
      </c>
    </row>
    <row r="168" spans="1:6" ht="10.5" customHeight="1">
      <c r="A168" s="280"/>
      <c r="B168" s="281"/>
      <c r="C168" s="153" t="s">
        <v>866</v>
      </c>
      <c r="D168" s="289">
        <f>664+62+2312-1542</f>
        <v>1496</v>
      </c>
      <c r="E168" s="289"/>
      <c r="F168" s="311">
        <f>D168</f>
        <v>1496</v>
      </c>
    </row>
    <row r="169" spans="1:6" ht="10.5" customHeight="1">
      <c r="A169" s="280"/>
      <c r="B169" s="281" t="s">
        <v>322</v>
      </c>
      <c r="C169" s="877" t="s">
        <v>925</v>
      </c>
      <c r="D169" s="286"/>
      <c r="E169" s="286"/>
      <c r="F169" s="287"/>
    </row>
    <row r="170" spans="1:6" ht="10.5" customHeight="1">
      <c r="A170" s="280"/>
      <c r="B170" s="281"/>
      <c r="C170" s="153" t="s">
        <v>864</v>
      </c>
      <c r="D170" s="286">
        <v>0</v>
      </c>
      <c r="E170" s="286">
        <v>0</v>
      </c>
      <c r="F170" s="287">
        <v>0</v>
      </c>
    </row>
    <row r="171" spans="1:6" ht="10.5" customHeight="1">
      <c r="A171" s="280"/>
      <c r="B171" s="281"/>
      <c r="C171" s="153" t="s">
        <v>865</v>
      </c>
      <c r="D171" s="286">
        <v>0</v>
      </c>
      <c r="E171" s="286">
        <v>11714</v>
      </c>
      <c r="F171" s="287">
        <v>11714</v>
      </c>
    </row>
    <row r="172" spans="1:6" ht="10.5" customHeight="1">
      <c r="A172" s="280"/>
      <c r="B172" s="281"/>
      <c r="C172" s="153" t="s">
        <v>866</v>
      </c>
      <c r="D172" s="286">
        <v>0</v>
      </c>
      <c r="E172" s="286">
        <f>17078-47</f>
        <v>17031</v>
      </c>
      <c r="F172" s="287">
        <v>17031</v>
      </c>
    </row>
    <row r="173" spans="1:6" ht="10.5" customHeight="1">
      <c r="A173" s="280"/>
      <c r="B173" s="281" t="s">
        <v>323</v>
      </c>
      <c r="C173" s="877" t="s">
        <v>926</v>
      </c>
      <c r="D173" s="286"/>
      <c r="E173" s="286"/>
      <c r="F173" s="287"/>
    </row>
    <row r="174" spans="1:6" ht="10.5" customHeight="1">
      <c r="A174" s="280"/>
      <c r="B174" s="281"/>
      <c r="C174" s="153" t="s">
        <v>864</v>
      </c>
      <c r="D174" s="286"/>
      <c r="E174" s="286"/>
      <c r="F174" s="287">
        <v>0</v>
      </c>
    </row>
    <row r="175" spans="1:6" ht="10.5" customHeight="1">
      <c r="A175" s="280"/>
      <c r="B175" s="281"/>
      <c r="C175" s="153" t="s">
        <v>865</v>
      </c>
      <c r="D175" s="286">
        <v>2367</v>
      </c>
      <c r="E175" s="286"/>
      <c r="F175" s="287">
        <v>2367</v>
      </c>
    </row>
    <row r="176" spans="1:6" ht="10.5" customHeight="1">
      <c r="A176" s="280"/>
      <c r="B176" s="281"/>
      <c r="C176" s="153" t="s">
        <v>866</v>
      </c>
      <c r="D176" s="289">
        <v>2367</v>
      </c>
      <c r="E176" s="289"/>
      <c r="F176" s="311">
        <v>2367</v>
      </c>
    </row>
    <row r="177" spans="1:6" ht="10.5" customHeight="1">
      <c r="A177" s="280"/>
      <c r="B177" s="281" t="s">
        <v>324</v>
      </c>
      <c r="C177" s="877" t="s">
        <v>1043</v>
      </c>
      <c r="D177" s="286"/>
      <c r="E177" s="286"/>
      <c r="F177" s="287"/>
    </row>
    <row r="178" spans="1:6" ht="10.5" customHeight="1">
      <c r="A178" s="280"/>
      <c r="B178" s="281"/>
      <c r="C178" s="153" t="s">
        <v>864</v>
      </c>
      <c r="D178" s="286">
        <v>0</v>
      </c>
      <c r="E178" s="286"/>
      <c r="F178" s="287">
        <v>0</v>
      </c>
    </row>
    <row r="179" spans="1:6" ht="10.5" customHeight="1">
      <c r="A179" s="280"/>
      <c r="B179" s="281"/>
      <c r="C179" s="153" t="s">
        <v>865</v>
      </c>
      <c r="D179" s="286">
        <v>0</v>
      </c>
      <c r="E179" s="286"/>
      <c r="F179" s="287">
        <v>0</v>
      </c>
    </row>
    <row r="180" spans="1:6" ht="10.5" customHeight="1">
      <c r="A180" s="280"/>
      <c r="B180" s="281"/>
      <c r="C180" s="153" t="s">
        <v>866</v>
      </c>
      <c r="D180" s="286">
        <f>10469-2367</f>
        <v>8102</v>
      </c>
      <c r="E180" s="286"/>
      <c r="F180" s="287">
        <v>8102</v>
      </c>
    </row>
    <row r="181" spans="1:6" ht="10.5" customHeight="1">
      <c r="A181" s="280"/>
      <c r="B181" s="281" t="s">
        <v>325</v>
      </c>
      <c r="C181" s="881" t="s">
        <v>911</v>
      </c>
      <c r="D181" s="286"/>
      <c r="E181" s="286"/>
      <c r="F181" s="287"/>
    </row>
    <row r="182" spans="1:6" ht="10.5" customHeight="1">
      <c r="A182" s="280"/>
      <c r="B182" s="281"/>
      <c r="C182" s="153" t="s">
        <v>864</v>
      </c>
      <c r="D182" s="286">
        <v>0</v>
      </c>
      <c r="E182" s="286"/>
      <c r="F182" s="287">
        <v>0</v>
      </c>
    </row>
    <row r="183" spans="1:6" ht="10.5" customHeight="1">
      <c r="A183" s="280"/>
      <c r="B183" s="281"/>
      <c r="C183" s="153" t="s">
        <v>865</v>
      </c>
      <c r="D183" s="286">
        <v>0</v>
      </c>
      <c r="E183" s="286"/>
      <c r="F183" s="287">
        <v>0</v>
      </c>
    </row>
    <row r="184" spans="1:6" ht="10.5" customHeight="1" thickBot="1">
      <c r="A184" s="280"/>
      <c r="B184" s="281"/>
      <c r="C184" s="153" t="s">
        <v>866</v>
      </c>
      <c r="D184" s="289">
        <f>3731-411+128</f>
        <v>3448</v>
      </c>
      <c r="E184" s="289"/>
      <c r="F184" s="311">
        <v>3448</v>
      </c>
    </row>
    <row r="185" spans="1:6" s="12" customFormat="1" ht="12" customHeight="1" thickTop="1">
      <c r="A185" s="126" t="s">
        <v>341</v>
      </c>
      <c r="B185" s="128"/>
      <c r="C185" s="320" t="s">
        <v>835</v>
      </c>
      <c r="D185" s="321"/>
      <c r="E185" s="321"/>
      <c r="F185" s="337"/>
    </row>
    <row r="186" spans="1:6" s="12" customFormat="1" ht="12" customHeight="1">
      <c r="A186" s="323"/>
      <c r="B186" s="324"/>
      <c r="C186" s="177" t="s">
        <v>864</v>
      </c>
      <c r="D186" s="325">
        <f>D154+D109</f>
        <v>84304</v>
      </c>
      <c r="E186" s="325"/>
      <c r="F186" s="338">
        <f>D186+E186</f>
        <v>84304</v>
      </c>
    </row>
    <row r="187" spans="1:6" s="12" customFormat="1" ht="12" customHeight="1">
      <c r="A187" s="296"/>
      <c r="B187" s="307"/>
      <c r="C187" s="153" t="s">
        <v>865</v>
      </c>
      <c r="D187" s="299">
        <f>D155+D110+D159+D163+D167+D171+D175</f>
        <v>186414</v>
      </c>
      <c r="E187" s="299">
        <f>E171+E138</f>
        <v>14414</v>
      </c>
      <c r="F187" s="287">
        <f>D187+E187</f>
        <v>200828</v>
      </c>
    </row>
    <row r="188" spans="1:6" s="12" customFormat="1" ht="12" customHeight="1" thickBot="1">
      <c r="A188" s="300"/>
      <c r="B188" s="339"/>
      <c r="C188" s="201" t="s">
        <v>866</v>
      </c>
      <c r="D188" s="302">
        <f>D156+D111+D160+D164+D168+D172+D176+D180+D184</f>
        <v>212255</v>
      </c>
      <c r="E188" s="302">
        <f>E139+E172</f>
        <v>17031</v>
      </c>
      <c r="F188" s="340">
        <f>D188+E188</f>
        <v>229286</v>
      </c>
    </row>
    <row r="189" spans="1:6" ht="7.5" customHeight="1" thickTop="1">
      <c r="A189" s="280"/>
      <c r="B189" s="281"/>
      <c r="C189" s="335"/>
      <c r="D189" s="289"/>
      <c r="E189" s="336"/>
      <c r="F189" s="341"/>
    </row>
    <row r="190" spans="1:6" s="12" customFormat="1" ht="12" customHeight="1">
      <c r="A190" s="296" t="s">
        <v>353</v>
      </c>
      <c r="B190" s="307"/>
      <c r="C190" s="308" t="s">
        <v>727</v>
      </c>
      <c r="D190" s="309"/>
      <c r="E190" s="310"/>
      <c r="F190" s="284"/>
    </row>
    <row r="191" spans="1:6" ht="10.5" customHeight="1">
      <c r="A191" s="296" t="s">
        <v>316</v>
      </c>
      <c r="B191" s="281"/>
      <c r="C191" s="308" t="s">
        <v>452</v>
      </c>
      <c r="D191" s="342"/>
      <c r="E191" s="343"/>
      <c r="F191" s="284"/>
    </row>
    <row r="192" spans="1:6" ht="5.25" customHeight="1">
      <c r="A192" s="296"/>
      <c r="B192" s="281"/>
      <c r="C192" s="308"/>
      <c r="D192" s="342"/>
      <c r="E192" s="343"/>
      <c r="F192" s="284"/>
    </row>
    <row r="193" spans="1:6" ht="12.75" customHeight="1">
      <c r="A193" s="280"/>
      <c r="B193" s="344" t="s">
        <v>526</v>
      </c>
      <c r="C193" s="288" t="s">
        <v>377</v>
      </c>
      <c r="D193" s="286"/>
      <c r="E193" s="286"/>
      <c r="F193" s="287"/>
    </row>
    <row r="194" spans="1:6" ht="12.75" customHeight="1">
      <c r="A194" s="280"/>
      <c r="B194" s="344"/>
      <c r="C194" s="153" t="s">
        <v>864</v>
      </c>
      <c r="D194" s="286">
        <v>28500</v>
      </c>
      <c r="E194" s="286"/>
      <c r="F194" s="287">
        <f>D194+E194</f>
        <v>28500</v>
      </c>
    </row>
    <row r="195" spans="1:6" ht="12.75" customHeight="1">
      <c r="A195" s="280"/>
      <c r="B195" s="344"/>
      <c r="C195" s="153" t="s">
        <v>865</v>
      </c>
      <c r="D195" s="286">
        <v>6482</v>
      </c>
      <c r="E195" s="286"/>
      <c r="F195" s="287">
        <f aca="true" t="shared" si="4" ref="F195:F254">D195+E195</f>
        <v>6482</v>
      </c>
    </row>
    <row r="196" spans="1:6" ht="12.75" customHeight="1">
      <c r="A196" s="280"/>
      <c r="B196" s="344"/>
      <c r="C196" s="153" t="s">
        <v>866</v>
      </c>
      <c r="D196" s="286">
        <v>0</v>
      </c>
      <c r="E196" s="286"/>
      <c r="F196" s="287">
        <f t="shared" si="4"/>
        <v>0</v>
      </c>
    </row>
    <row r="197" spans="1:6" ht="12.75" customHeight="1">
      <c r="A197" s="280"/>
      <c r="B197" s="344" t="s">
        <v>527</v>
      </c>
      <c r="C197" s="106" t="s">
        <v>658</v>
      </c>
      <c r="D197" s="286"/>
      <c r="E197" s="286"/>
      <c r="F197" s="287"/>
    </row>
    <row r="198" spans="1:6" ht="12.75" customHeight="1">
      <c r="A198" s="280"/>
      <c r="B198" s="344"/>
      <c r="C198" s="153" t="s">
        <v>864</v>
      </c>
      <c r="D198" s="286">
        <v>48000</v>
      </c>
      <c r="E198" s="286"/>
      <c r="F198" s="287">
        <f t="shared" si="4"/>
        <v>48000</v>
      </c>
    </row>
    <row r="199" spans="1:6" ht="12.75" customHeight="1">
      <c r="A199" s="280"/>
      <c r="B199" s="344"/>
      <c r="C199" s="153" t="s">
        <v>865</v>
      </c>
      <c r="D199" s="286">
        <v>24120</v>
      </c>
      <c r="E199" s="286"/>
      <c r="F199" s="287">
        <f t="shared" si="4"/>
        <v>24120</v>
      </c>
    </row>
    <row r="200" spans="1:6" ht="12.75" customHeight="1">
      <c r="A200" s="280"/>
      <c r="B200" s="344"/>
      <c r="C200" s="153" t="s">
        <v>866</v>
      </c>
      <c r="D200" s="286">
        <v>0</v>
      </c>
      <c r="E200" s="286"/>
      <c r="F200" s="287">
        <f t="shared" si="4"/>
        <v>0</v>
      </c>
    </row>
    <row r="201" spans="1:6" ht="12.75" customHeight="1">
      <c r="A201" s="280"/>
      <c r="B201" s="344" t="s">
        <v>528</v>
      </c>
      <c r="C201" s="106" t="s">
        <v>657</v>
      </c>
      <c r="D201" s="286"/>
      <c r="E201" s="286"/>
      <c r="F201" s="287"/>
    </row>
    <row r="202" spans="1:6" ht="12.75" customHeight="1">
      <c r="A202" s="280"/>
      <c r="B202" s="344"/>
      <c r="C202" s="153" t="s">
        <v>864</v>
      </c>
      <c r="D202" s="286">
        <v>16200</v>
      </c>
      <c r="E202" s="286"/>
      <c r="F202" s="287">
        <f t="shared" si="4"/>
        <v>16200</v>
      </c>
    </row>
    <row r="203" spans="1:6" ht="12.75" customHeight="1">
      <c r="A203" s="280"/>
      <c r="B203" s="344"/>
      <c r="C203" s="153" t="s">
        <v>865</v>
      </c>
      <c r="D203" s="286">
        <v>4018</v>
      </c>
      <c r="E203" s="286"/>
      <c r="F203" s="287">
        <f t="shared" si="4"/>
        <v>4018</v>
      </c>
    </row>
    <row r="204" spans="1:6" ht="12.75" customHeight="1">
      <c r="A204" s="280"/>
      <c r="B204" s="344"/>
      <c r="C204" s="153" t="s">
        <v>866</v>
      </c>
      <c r="D204" s="286">
        <v>0</v>
      </c>
      <c r="E204" s="286"/>
      <c r="F204" s="287">
        <f t="shared" si="4"/>
        <v>0</v>
      </c>
    </row>
    <row r="205" spans="1:6" ht="12.75" customHeight="1">
      <c r="A205" s="280"/>
      <c r="B205" s="344" t="s">
        <v>529</v>
      </c>
      <c r="C205" s="288" t="s">
        <v>378</v>
      </c>
      <c r="D205" s="286"/>
      <c r="E205" s="286"/>
      <c r="F205" s="287"/>
    </row>
    <row r="206" spans="1:6" ht="12.75" customHeight="1">
      <c r="A206" s="280"/>
      <c r="B206" s="344"/>
      <c r="C206" s="153" t="s">
        <v>864</v>
      </c>
      <c r="D206" s="286">
        <v>12600</v>
      </c>
      <c r="E206" s="286"/>
      <c r="F206" s="287">
        <f t="shared" si="4"/>
        <v>12600</v>
      </c>
    </row>
    <row r="207" spans="1:6" ht="12.75" customHeight="1">
      <c r="A207" s="280"/>
      <c r="B207" s="344"/>
      <c r="C207" s="153" t="s">
        <v>865</v>
      </c>
      <c r="D207" s="286">
        <v>2066</v>
      </c>
      <c r="E207" s="286"/>
      <c r="F207" s="287">
        <f t="shared" si="4"/>
        <v>2066</v>
      </c>
    </row>
    <row r="208" spans="1:6" ht="12.75" customHeight="1">
      <c r="A208" s="280"/>
      <c r="B208" s="344"/>
      <c r="C208" s="153" t="s">
        <v>866</v>
      </c>
      <c r="D208" s="286">
        <v>0</v>
      </c>
      <c r="E208" s="286"/>
      <c r="F208" s="287">
        <f t="shared" si="4"/>
        <v>0</v>
      </c>
    </row>
    <row r="209" spans="1:6" ht="12.75" customHeight="1">
      <c r="A209" s="280"/>
      <c r="B209" s="344" t="s">
        <v>530</v>
      </c>
      <c r="C209" s="288" t="s">
        <v>449</v>
      </c>
      <c r="D209" s="286"/>
      <c r="E209" s="286"/>
      <c r="F209" s="287"/>
    </row>
    <row r="210" spans="1:6" ht="12.75" customHeight="1">
      <c r="A210" s="280"/>
      <c r="B210" s="344"/>
      <c r="C210" s="153" t="s">
        <v>864</v>
      </c>
      <c r="D210" s="345">
        <v>7500</v>
      </c>
      <c r="E210" s="345"/>
      <c r="F210" s="287">
        <f t="shared" si="4"/>
        <v>7500</v>
      </c>
    </row>
    <row r="211" spans="1:6" ht="12.75" customHeight="1">
      <c r="A211" s="280"/>
      <c r="B211" s="344"/>
      <c r="C211" s="153" t="s">
        <v>865</v>
      </c>
      <c r="D211" s="345">
        <v>4617</v>
      </c>
      <c r="E211" s="345"/>
      <c r="F211" s="287">
        <f t="shared" si="4"/>
        <v>4617</v>
      </c>
    </row>
    <row r="212" spans="1:6" ht="12.75" customHeight="1">
      <c r="A212" s="280"/>
      <c r="B212" s="344"/>
      <c r="C212" s="153" t="s">
        <v>866</v>
      </c>
      <c r="D212" s="345">
        <f>3068</f>
        <v>3068</v>
      </c>
      <c r="E212" s="345"/>
      <c r="F212" s="287">
        <f t="shared" si="4"/>
        <v>3068</v>
      </c>
    </row>
    <row r="213" spans="1:6" ht="12.75" customHeight="1">
      <c r="A213" s="280"/>
      <c r="B213" s="344" t="s">
        <v>531</v>
      </c>
      <c r="C213" s="346" t="s">
        <v>379</v>
      </c>
      <c r="D213" s="345"/>
      <c r="E213" s="345"/>
      <c r="F213" s="287"/>
    </row>
    <row r="214" spans="1:6" ht="12.75" customHeight="1">
      <c r="A214" s="280"/>
      <c r="B214" s="344"/>
      <c r="C214" s="153" t="s">
        <v>864</v>
      </c>
      <c r="D214" s="345">
        <v>21600</v>
      </c>
      <c r="E214" s="345"/>
      <c r="F214" s="287">
        <f t="shared" si="4"/>
        <v>21600</v>
      </c>
    </row>
    <row r="215" spans="1:6" ht="12.75" customHeight="1">
      <c r="A215" s="280"/>
      <c r="B215" s="344"/>
      <c r="C215" s="153" t="s">
        <v>865</v>
      </c>
      <c r="D215" s="345">
        <v>2661</v>
      </c>
      <c r="E215" s="345"/>
      <c r="F215" s="287">
        <f t="shared" si="4"/>
        <v>2661</v>
      </c>
    </row>
    <row r="216" spans="1:6" ht="12.75" customHeight="1">
      <c r="A216" s="280"/>
      <c r="B216" s="344"/>
      <c r="C216" s="153" t="s">
        <v>866</v>
      </c>
      <c r="D216" s="345">
        <v>0</v>
      </c>
      <c r="E216" s="345"/>
      <c r="F216" s="287">
        <f t="shared" si="4"/>
        <v>0</v>
      </c>
    </row>
    <row r="217" spans="1:6" ht="12.75" customHeight="1">
      <c r="A217" s="280"/>
      <c r="B217" s="344" t="s">
        <v>532</v>
      </c>
      <c r="C217" s="346" t="s">
        <v>453</v>
      </c>
      <c r="D217" s="345"/>
      <c r="E217" s="345"/>
      <c r="F217" s="287"/>
    </row>
    <row r="218" spans="1:6" ht="12.75" customHeight="1">
      <c r="A218" s="280"/>
      <c r="B218" s="344"/>
      <c r="C218" s="153" t="s">
        <v>864</v>
      </c>
      <c r="D218" s="345">
        <v>500</v>
      </c>
      <c r="E218" s="345"/>
      <c r="F218" s="287">
        <f t="shared" si="4"/>
        <v>500</v>
      </c>
    </row>
    <row r="219" spans="1:6" ht="12.75" customHeight="1">
      <c r="A219" s="280"/>
      <c r="B219" s="344"/>
      <c r="C219" s="153" t="s">
        <v>865</v>
      </c>
      <c r="D219" s="345">
        <v>500</v>
      </c>
      <c r="E219" s="345"/>
      <c r="F219" s="287">
        <f t="shared" si="4"/>
        <v>500</v>
      </c>
    </row>
    <row r="220" spans="1:6" ht="12.75" customHeight="1">
      <c r="A220" s="280"/>
      <c r="B220" s="344"/>
      <c r="C220" s="153" t="s">
        <v>866</v>
      </c>
      <c r="D220" s="345">
        <v>0</v>
      </c>
      <c r="E220" s="345"/>
      <c r="F220" s="287">
        <f t="shared" si="4"/>
        <v>0</v>
      </c>
    </row>
    <row r="221" spans="1:6" ht="12.75" customHeight="1">
      <c r="A221" s="280"/>
      <c r="B221" s="344" t="s">
        <v>533</v>
      </c>
      <c r="C221" s="346" t="s">
        <v>450</v>
      </c>
      <c r="D221" s="345"/>
      <c r="E221" s="345"/>
      <c r="F221" s="287"/>
    </row>
    <row r="222" spans="1:6" ht="12.75" customHeight="1">
      <c r="A222" s="280"/>
      <c r="B222" s="344"/>
      <c r="C222" s="153" t="s">
        <v>864</v>
      </c>
      <c r="D222" s="345">
        <v>600</v>
      </c>
      <c r="E222" s="345"/>
      <c r="F222" s="287">
        <f t="shared" si="4"/>
        <v>600</v>
      </c>
    </row>
    <row r="223" spans="1:6" ht="12.75" customHeight="1">
      <c r="A223" s="280"/>
      <c r="B223" s="344"/>
      <c r="C223" s="153" t="s">
        <v>865</v>
      </c>
      <c r="D223" s="345">
        <v>600</v>
      </c>
      <c r="E223" s="345"/>
      <c r="F223" s="287">
        <f t="shared" si="4"/>
        <v>600</v>
      </c>
    </row>
    <row r="224" spans="1:6" ht="12.75" customHeight="1">
      <c r="A224" s="280"/>
      <c r="B224" s="344"/>
      <c r="C224" s="153" t="s">
        <v>866</v>
      </c>
      <c r="D224" s="345">
        <v>0</v>
      </c>
      <c r="E224" s="345"/>
      <c r="F224" s="287">
        <f t="shared" si="4"/>
        <v>0</v>
      </c>
    </row>
    <row r="225" spans="1:6" ht="12.75" customHeight="1">
      <c r="A225" s="280"/>
      <c r="B225" s="344" t="s">
        <v>534</v>
      </c>
      <c r="C225" s="346" t="s">
        <v>380</v>
      </c>
      <c r="D225" s="345"/>
      <c r="E225" s="345"/>
      <c r="F225" s="287"/>
    </row>
    <row r="226" spans="1:6" ht="12.75" customHeight="1">
      <c r="A226" s="280"/>
      <c r="B226" s="344"/>
      <c r="C226" s="153" t="s">
        <v>864</v>
      </c>
      <c r="D226" s="345">
        <v>700</v>
      </c>
      <c r="E226" s="345"/>
      <c r="F226" s="287">
        <f t="shared" si="4"/>
        <v>700</v>
      </c>
    </row>
    <row r="227" spans="1:6" ht="12.75" customHeight="1">
      <c r="A227" s="280"/>
      <c r="B227" s="344"/>
      <c r="C227" s="153" t="s">
        <v>865</v>
      </c>
      <c r="D227" s="345">
        <v>700</v>
      </c>
      <c r="E227" s="345"/>
      <c r="F227" s="287">
        <f t="shared" si="4"/>
        <v>700</v>
      </c>
    </row>
    <row r="228" spans="1:6" ht="12.75" customHeight="1">
      <c r="A228" s="280"/>
      <c r="B228" s="344"/>
      <c r="C228" s="153" t="s">
        <v>866</v>
      </c>
      <c r="D228" s="345">
        <f>31+56+29+221+47+192+87+44+18</f>
        <v>725</v>
      </c>
      <c r="E228" s="345"/>
      <c r="F228" s="287">
        <f t="shared" si="4"/>
        <v>725</v>
      </c>
    </row>
    <row r="229" spans="1:6" ht="12.75" customHeight="1">
      <c r="A229" s="280"/>
      <c r="B229" s="344" t="s">
        <v>535</v>
      </c>
      <c r="C229" s="288" t="s">
        <v>545</v>
      </c>
      <c r="D229" s="286"/>
      <c r="E229" s="286"/>
      <c r="F229" s="287"/>
    </row>
    <row r="230" spans="1:6" ht="12.75" customHeight="1">
      <c r="A230" s="280"/>
      <c r="B230" s="344"/>
      <c r="C230" s="153" t="s">
        <v>864</v>
      </c>
      <c r="D230" s="286">
        <v>92018</v>
      </c>
      <c r="E230" s="286">
        <v>25701</v>
      </c>
      <c r="F230" s="287">
        <f t="shared" si="4"/>
        <v>117719</v>
      </c>
    </row>
    <row r="231" spans="1:6" ht="12.75" customHeight="1">
      <c r="A231" s="280"/>
      <c r="B231" s="344"/>
      <c r="C231" s="153" t="s">
        <v>865</v>
      </c>
      <c r="D231" s="286">
        <v>90770</v>
      </c>
      <c r="E231" s="286">
        <v>25701</v>
      </c>
      <c r="F231" s="287">
        <f t="shared" si="4"/>
        <v>116471</v>
      </c>
    </row>
    <row r="232" spans="1:6" ht="12.75" customHeight="1">
      <c r="A232" s="280"/>
      <c r="B232" s="344"/>
      <c r="C232" s="153" t="s">
        <v>866</v>
      </c>
      <c r="D232" s="286">
        <f>71+156+85+437+11+479+991+827+2490+1158+1733+955+3389+1697+349+1436+659+2761+453+987+105+2903+453+535+349+1830+471+856+104+2885+267+1562+634+888+104+579+297+1585+639+854+104+2862+420+638+244+2078+987+965+3319+956+920+3328+1932+21684+14763+5</f>
        <v>94229</v>
      </c>
      <c r="E232" s="286">
        <v>6500</v>
      </c>
      <c r="F232" s="287">
        <f t="shared" si="4"/>
        <v>100729</v>
      </c>
    </row>
    <row r="233" spans="1:6" ht="13.5" customHeight="1">
      <c r="A233" s="280"/>
      <c r="B233" s="344" t="s">
        <v>536</v>
      </c>
      <c r="C233" s="288" t="s">
        <v>381</v>
      </c>
      <c r="D233" s="286"/>
      <c r="E233" s="286"/>
      <c r="F233" s="287"/>
    </row>
    <row r="234" spans="1:6" ht="13.5" customHeight="1">
      <c r="A234" s="280"/>
      <c r="B234" s="344"/>
      <c r="C234" s="153" t="s">
        <v>864</v>
      </c>
      <c r="D234" s="286">
        <v>1200</v>
      </c>
      <c r="E234" s="286"/>
      <c r="F234" s="287">
        <f t="shared" si="4"/>
        <v>1200</v>
      </c>
    </row>
    <row r="235" spans="1:6" ht="13.5" customHeight="1">
      <c r="A235" s="280"/>
      <c r="B235" s="344"/>
      <c r="C235" s="153" t="s">
        <v>865</v>
      </c>
      <c r="D235" s="286">
        <v>1200</v>
      </c>
      <c r="E235" s="286"/>
      <c r="F235" s="287">
        <f t="shared" si="4"/>
        <v>1200</v>
      </c>
    </row>
    <row r="236" spans="1:6" ht="13.5" customHeight="1">
      <c r="A236" s="280"/>
      <c r="B236" s="344"/>
      <c r="C236" s="153" t="s">
        <v>866</v>
      </c>
      <c r="D236" s="286">
        <v>0</v>
      </c>
      <c r="E236" s="286"/>
      <c r="F236" s="287">
        <f t="shared" si="4"/>
        <v>0</v>
      </c>
    </row>
    <row r="237" spans="1:6" ht="12.75" customHeight="1">
      <c r="A237" s="280"/>
      <c r="B237" s="344" t="s">
        <v>537</v>
      </c>
      <c r="C237" s="285" t="s">
        <v>462</v>
      </c>
      <c r="D237" s="286"/>
      <c r="E237" s="286"/>
      <c r="F237" s="287"/>
    </row>
    <row r="238" spans="1:6" ht="12.75" customHeight="1">
      <c r="A238" s="280"/>
      <c r="B238" s="344"/>
      <c r="C238" s="153" t="s">
        <v>864</v>
      </c>
      <c r="D238" s="347">
        <v>4000</v>
      </c>
      <c r="E238" s="347"/>
      <c r="F238" s="287">
        <f t="shared" si="4"/>
        <v>4000</v>
      </c>
    </row>
    <row r="239" spans="1:6" ht="12.75" customHeight="1">
      <c r="A239" s="280"/>
      <c r="B239" s="344"/>
      <c r="C239" s="153" t="s">
        <v>865</v>
      </c>
      <c r="D239" s="347">
        <v>4000</v>
      </c>
      <c r="E239" s="347"/>
      <c r="F239" s="287">
        <f t="shared" si="4"/>
        <v>4000</v>
      </c>
    </row>
    <row r="240" spans="1:6" ht="12.75" customHeight="1">
      <c r="A240" s="280"/>
      <c r="B240" s="344"/>
      <c r="C240" s="153" t="s">
        <v>866</v>
      </c>
      <c r="D240" s="347">
        <f>668+396+770+465</f>
        <v>2299</v>
      </c>
      <c r="E240" s="347"/>
      <c r="F240" s="287">
        <f t="shared" si="4"/>
        <v>2299</v>
      </c>
    </row>
    <row r="241" spans="1:6" ht="12.75" customHeight="1">
      <c r="A241" s="280"/>
      <c r="B241" s="344" t="s">
        <v>538</v>
      </c>
      <c r="C241" s="348" t="s">
        <v>660</v>
      </c>
      <c r="D241" s="347"/>
      <c r="E241" s="347"/>
      <c r="F241" s="287"/>
    </row>
    <row r="242" spans="1:6" ht="12.75" customHeight="1">
      <c r="A242" s="280"/>
      <c r="B242" s="344"/>
      <c r="C242" s="153" t="s">
        <v>864</v>
      </c>
      <c r="D242" s="347">
        <v>3500</v>
      </c>
      <c r="E242" s="347"/>
      <c r="F242" s="287">
        <f t="shared" si="4"/>
        <v>3500</v>
      </c>
    </row>
    <row r="243" spans="1:6" ht="12.75" customHeight="1">
      <c r="A243" s="280"/>
      <c r="B243" s="344"/>
      <c r="C243" s="153" t="s">
        <v>865</v>
      </c>
      <c r="D243" s="347">
        <v>3822</v>
      </c>
      <c r="E243" s="347"/>
      <c r="F243" s="287">
        <f t="shared" si="4"/>
        <v>3822</v>
      </c>
    </row>
    <row r="244" spans="1:6" ht="12.75" customHeight="1">
      <c r="A244" s="280"/>
      <c r="B244" s="344"/>
      <c r="C244" s="153" t="s">
        <v>866</v>
      </c>
      <c r="D244" s="347">
        <f>238+592+288+292+292+332+338+325+325+315+362+177</f>
        <v>3876</v>
      </c>
      <c r="E244" s="347"/>
      <c r="F244" s="287">
        <f t="shared" si="4"/>
        <v>3876</v>
      </c>
    </row>
    <row r="245" spans="1:6" ht="12.75" customHeight="1">
      <c r="A245" s="280"/>
      <c r="B245" s="344" t="s">
        <v>539</v>
      </c>
      <c r="C245" s="348" t="s">
        <v>466</v>
      </c>
      <c r="D245" s="347"/>
      <c r="E245" s="347"/>
      <c r="F245" s="287"/>
    </row>
    <row r="246" spans="1:6" ht="12.75" customHeight="1">
      <c r="A246" s="280"/>
      <c r="B246" s="344"/>
      <c r="C246" s="153" t="s">
        <v>864</v>
      </c>
      <c r="D246" s="347">
        <v>4000</v>
      </c>
      <c r="E246" s="347"/>
      <c r="F246" s="287">
        <f t="shared" si="4"/>
        <v>4000</v>
      </c>
    </row>
    <row r="247" spans="1:6" ht="12.75" customHeight="1">
      <c r="A247" s="280"/>
      <c r="B247" s="344"/>
      <c r="C247" s="153" t="s">
        <v>865</v>
      </c>
      <c r="D247" s="347">
        <v>4000</v>
      </c>
      <c r="E247" s="347"/>
      <c r="F247" s="287">
        <f t="shared" si="4"/>
        <v>4000</v>
      </c>
    </row>
    <row r="248" spans="1:6" ht="12.75" customHeight="1">
      <c r="A248" s="280"/>
      <c r="B248" s="344"/>
      <c r="C248" s="153" t="s">
        <v>866</v>
      </c>
      <c r="D248" s="347">
        <f>1710+1710</f>
        <v>3420</v>
      </c>
      <c r="E248" s="347"/>
      <c r="F248" s="287">
        <f t="shared" si="4"/>
        <v>3420</v>
      </c>
    </row>
    <row r="249" spans="1:6" ht="12.75" customHeight="1">
      <c r="A249" s="280"/>
      <c r="B249" s="344" t="s">
        <v>540</v>
      </c>
      <c r="C249" s="348" t="s">
        <v>467</v>
      </c>
      <c r="D249" s="347"/>
      <c r="E249" s="347"/>
      <c r="F249" s="287"/>
    </row>
    <row r="250" spans="1:6" ht="12.75" customHeight="1">
      <c r="A250" s="280"/>
      <c r="B250" s="344"/>
      <c r="C250" s="153" t="s">
        <v>864</v>
      </c>
      <c r="D250" s="347">
        <v>604</v>
      </c>
      <c r="E250" s="347"/>
      <c r="F250" s="287">
        <f t="shared" si="4"/>
        <v>604</v>
      </c>
    </row>
    <row r="251" spans="1:6" ht="12.75" customHeight="1">
      <c r="A251" s="280"/>
      <c r="B251" s="344"/>
      <c r="C251" s="153" t="s">
        <v>865</v>
      </c>
      <c r="D251" s="347">
        <v>604</v>
      </c>
      <c r="E251" s="347"/>
      <c r="F251" s="287">
        <f t="shared" si="4"/>
        <v>604</v>
      </c>
    </row>
    <row r="252" spans="1:6" ht="12.75" customHeight="1">
      <c r="A252" s="280"/>
      <c r="B252" s="344"/>
      <c r="C252" s="153" t="s">
        <v>866</v>
      </c>
      <c r="D252" s="347">
        <v>0</v>
      </c>
      <c r="E252" s="347"/>
      <c r="F252" s="287">
        <f t="shared" si="4"/>
        <v>0</v>
      </c>
    </row>
    <row r="253" spans="1:6" ht="12.75" customHeight="1">
      <c r="A253" s="280"/>
      <c r="B253" s="344" t="s">
        <v>541</v>
      </c>
      <c r="C253" s="349" t="s">
        <v>468</v>
      </c>
      <c r="D253" s="286"/>
      <c r="E253" s="286"/>
      <c r="F253" s="287"/>
    </row>
    <row r="254" spans="1:6" ht="12.75" customHeight="1">
      <c r="A254" s="280"/>
      <c r="B254" s="344"/>
      <c r="C254" s="153" t="s">
        <v>864</v>
      </c>
      <c r="D254" s="286">
        <v>8670</v>
      </c>
      <c r="E254" s="286"/>
      <c r="F254" s="287">
        <f t="shared" si="4"/>
        <v>8670</v>
      </c>
    </row>
    <row r="255" spans="1:6" ht="12.75" customHeight="1">
      <c r="A255" s="280"/>
      <c r="B255" s="344"/>
      <c r="C255" s="153" t="s">
        <v>865</v>
      </c>
      <c r="D255" s="286">
        <v>9269</v>
      </c>
      <c r="E255" s="286"/>
      <c r="F255" s="287">
        <f aca="true" t="shared" si="5" ref="F255:F280">D255+E255</f>
        <v>9269</v>
      </c>
    </row>
    <row r="256" spans="1:6" ht="12.75" customHeight="1">
      <c r="A256" s="280"/>
      <c r="B256" s="344"/>
      <c r="C256" s="153" t="s">
        <v>866</v>
      </c>
      <c r="D256" s="286">
        <v>9414</v>
      </c>
      <c r="E256" s="286"/>
      <c r="F256" s="287">
        <f t="shared" si="5"/>
        <v>9414</v>
      </c>
    </row>
    <row r="257" spans="1:6" ht="12.75" customHeight="1">
      <c r="A257" s="280"/>
      <c r="B257" s="344" t="s">
        <v>542</v>
      </c>
      <c r="C257" s="349" t="s">
        <v>474</v>
      </c>
      <c r="D257" s="286"/>
      <c r="E257" s="286"/>
      <c r="F257" s="287"/>
    </row>
    <row r="258" spans="1:6" ht="12.75" customHeight="1">
      <c r="A258" s="280"/>
      <c r="B258" s="344"/>
      <c r="C258" s="153" t="s">
        <v>864</v>
      </c>
      <c r="D258" s="286">
        <v>600</v>
      </c>
      <c r="E258" s="286"/>
      <c r="F258" s="287">
        <f t="shared" si="5"/>
        <v>600</v>
      </c>
    </row>
    <row r="259" spans="1:6" ht="12.75" customHeight="1">
      <c r="A259" s="280"/>
      <c r="B259" s="344"/>
      <c r="C259" s="153" t="s">
        <v>865</v>
      </c>
      <c r="D259" s="286">
        <v>600</v>
      </c>
      <c r="E259" s="286"/>
      <c r="F259" s="287">
        <f t="shared" si="5"/>
        <v>600</v>
      </c>
    </row>
    <row r="260" spans="1:6" ht="12.75" customHeight="1">
      <c r="A260" s="280"/>
      <c r="B260" s="344"/>
      <c r="C260" s="153" t="s">
        <v>866</v>
      </c>
      <c r="D260" s="286">
        <v>0</v>
      </c>
      <c r="E260" s="286"/>
      <c r="F260" s="287">
        <f t="shared" si="5"/>
        <v>0</v>
      </c>
    </row>
    <row r="261" spans="1:6" ht="12.75" customHeight="1">
      <c r="A261" s="280"/>
      <c r="B261" s="344" t="s">
        <v>543</v>
      </c>
      <c r="C261" s="349" t="s">
        <v>487</v>
      </c>
      <c r="D261" s="286"/>
      <c r="E261" s="286"/>
      <c r="F261" s="287"/>
    </row>
    <row r="262" spans="1:6" ht="12.75" customHeight="1">
      <c r="A262" s="280"/>
      <c r="B262" s="350"/>
      <c r="C262" s="153" t="s">
        <v>864</v>
      </c>
      <c r="D262" s="286">
        <v>2000</v>
      </c>
      <c r="E262" s="286"/>
      <c r="F262" s="287">
        <f t="shared" si="5"/>
        <v>2000</v>
      </c>
    </row>
    <row r="263" spans="1:6" ht="12.75" customHeight="1">
      <c r="A263" s="280"/>
      <c r="B263" s="350"/>
      <c r="C263" s="153" t="s">
        <v>865</v>
      </c>
      <c r="D263" s="286">
        <v>1700</v>
      </c>
      <c r="E263" s="286"/>
      <c r="F263" s="287">
        <f t="shared" si="5"/>
        <v>1700</v>
      </c>
    </row>
    <row r="264" spans="1:6" ht="12.75" customHeight="1">
      <c r="A264" s="280"/>
      <c r="B264" s="350"/>
      <c r="C264" s="153" t="s">
        <v>866</v>
      </c>
      <c r="D264" s="286">
        <v>0</v>
      </c>
      <c r="E264" s="286"/>
      <c r="F264" s="287">
        <f t="shared" si="5"/>
        <v>0</v>
      </c>
    </row>
    <row r="265" spans="1:6" ht="12.75" customHeight="1">
      <c r="A265" s="280"/>
      <c r="B265" s="350" t="s">
        <v>703</v>
      </c>
      <c r="C265" s="349" t="s">
        <v>704</v>
      </c>
      <c r="D265" s="286"/>
      <c r="E265" s="286"/>
      <c r="F265" s="287"/>
    </row>
    <row r="266" spans="1:6" ht="12.75" customHeight="1">
      <c r="A266" s="280"/>
      <c r="B266" s="350"/>
      <c r="C266" s="153" t="s">
        <v>864</v>
      </c>
      <c r="D266" s="286">
        <v>14798</v>
      </c>
      <c r="E266" s="286"/>
      <c r="F266" s="287">
        <f t="shared" si="5"/>
        <v>14798</v>
      </c>
    </row>
    <row r="267" spans="1:6" ht="12.75" customHeight="1">
      <c r="A267" s="280"/>
      <c r="B267" s="350"/>
      <c r="C267" s="153" t="s">
        <v>865</v>
      </c>
      <c r="D267" s="286">
        <v>14798</v>
      </c>
      <c r="E267" s="286"/>
      <c r="F267" s="287">
        <f t="shared" si="5"/>
        <v>14798</v>
      </c>
    </row>
    <row r="268" spans="1:6" ht="12.75" customHeight="1">
      <c r="A268" s="280"/>
      <c r="B268" s="350"/>
      <c r="C268" s="153" t="s">
        <v>866</v>
      </c>
      <c r="D268" s="286">
        <v>14798</v>
      </c>
      <c r="E268" s="286"/>
      <c r="F268" s="287">
        <f t="shared" si="5"/>
        <v>14798</v>
      </c>
    </row>
    <row r="269" spans="1:6" ht="12.75" customHeight="1">
      <c r="A269" s="280"/>
      <c r="B269" s="350" t="s">
        <v>806</v>
      </c>
      <c r="C269" s="351" t="s">
        <v>808</v>
      </c>
      <c r="D269" s="286"/>
      <c r="E269" s="286"/>
      <c r="F269" s="287"/>
    </row>
    <row r="270" spans="1:6" ht="12.75" customHeight="1">
      <c r="A270" s="280"/>
      <c r="B270" s="350"/>
      <c r="C270" s="153" t="s">
        <v>864</v>
      </c>
      <c r="D270" s="286">
        <v>0</v>
      </c>
      <c r="E270" s="286"/>
      <c r="F270" s="287">
        <f t="shared" si="5"/>
        <v>0</v>
      </c>
    </row>
    <row r="271" spans="1:6" ht="12.75" customHeight="1">
      <c r="A271" s="280"/>
      <c r="B271" s="350"/>
      <c r="C271" s="153" t="s">
        <v>865</v>
      </c>
      <c r="D271" s="286">
        <v>0</v>
      </c>
      <c r="E271" s="286"/>
      <c r="F271" s="287">
        <f t="shared" si="5"/>
        <v>0</v>
      </c>
    </row>
    <row r="272" spans="1:6" ht="12.75" customHeight="1">
      <c r="A272" s="280"/>
      <c r="B272" s="350"/>
      <c r="C272" s="153" t="s">
        <v>866</v>
      </c>
      <c r="D272" s="286">
        <v>0</v>
      </c>
      <c r="E272" s="286"/>
      <c r="F272" s="287">
        <f t="shared" si="5"/>
        <v>0</v>
      </c>
    </row>
    <row r="273" spans="1:6" ht="12.75" customHeight="1">
      <c r="A273" s="280"/>
      <c r="B273" s="350" t="s">
        <v>807</v>
      </c>
      <c r="C273" s="351" t="s">
        <v>1038</v>
      </c>
      <c r="D273" s="286"/>
      <c r="E273" s="286"/>
      <c r="F273" s="287"/>
    </row>
    <row r="274" spans="1:6" ht="12.75" customHeight="1">
      <c r="A274" s="280"/>
      <c r="B274" s="350"/>
      <c r="C274" s="153" t="s">
        <v>864</v>
      </c>
      <c r="D274" s="286">
        <v>0</v>
      </c>
      <c r="E274" s="286"/>
      <c r="F274" s="287">
        <f t="shared" si="5"/>
        <v>0</v>
      </c>
    </row>
    <row r="275" spans="1:6" ht="12.75" customHeight="1">
      <c r="A275" s="280"/>
      <c r="B275" s="350"/>
      <c r="C275" s="153" t="s">
        <v>865</v>
      </c>
      <c r="D275" s="286">
        <v>0</v>
      </c>
      <c r="E275" s="286"/>
      <c r="F275" s="287">
        <f t="shared" si="5"/>
        <v>0</v>
      </c>
    </row>
    <row r="276" spans="1:6" ht="12.75" customHeight="1">
      <c r="A276" s="280"/>
      <c r="B276" s="350"/>
      <c r="C276" s="153" t="s">
        <v>866</v>
      </c>
      <c r="D276" s="286">
        <v>1207</v>
      </c>
      <c r="E276" s="286"/>
      <c r="F276" s="287">
        <f t="shared" si="5"/>
        <v>1207</v>
      </c>
    </row>
    <row r="277" spans="1:6" ht="12.75" customHeight="1">
      <c r="A277" s="280"/>
      <c r="B277" s="350" t="s">
        <v>831</v>
      </c>
      <c r="C277" s="351" t="s">
        <v>830</v>
      </c>
      <c r="D277" s="286"/>
      <c r="E277" s="286"/>
      <c r="F277" s="287"/>
    </row>
    <row r="278" spans="1:6" ht="12.75" customHeight="1">
      <c r="A278" s="280"/>
      <c r="B278" s="350"/>
      <c r="C278" s="153" t="s">
        <v>864</v>
      </c>
      <c r="D278" s="286">
        <v>0</v>
      </c>
      <c r="E278" s="286"/>
      <c r="F278" s="287">
        <f t="shared" si="5"/>
        <v>0</v>
      </c>
    </row>
    <row r="279" spans="1:6" ht="12.75" customHeight="1">
      <c r="A279" s="280"/>
      <c r="B279" s="350"/>
      <c r="C279" s="153" t="s">
        <v>865</v>
      </c>
      <c r="D279" s="286">
        <v>2021</v>
      </c>
      <c r="E279" s="286"/>
      <c r="F279" s="287">
        <f t="shared" si="5"/>
        <v>2021</v>
      </c>
    </row>
    <row r="280" spans="1:6" ht="12.75" customHeight="1">
      <c r="A280" s="280"/>
      <c r="B280" s="350"/>
      <c r="C280" s="153" t="s">
        <v>866</v>
      </c>
      <c r="D280" s="286">
        <v>0</v>
      </c>
      <c r="E280" s="286"/>
      <c r="F280" s="287">
        <f t="shared" si="5"/>
        <v>0</v>
      </c>
    </row>
    <row r="281" spans="1:6" ht="12.75" customHeight="1">
      <c r="A281" s="280"/>
      <c r="B281" s="350" t="s">
        <v>900</v>
      </c>
      <c r="C281" s="887" t="s">
        <v>902</v>
      </c>
      <c r="D281" s="286"/>
      <c r="E281" s="286"/>
      <c r="F281" s="287"/>
    </row>
    <row r="282" spans="1:6" ht="12.75" customHeight="1">
      <c r="A282" s="280"/>
      <c r="B282" s="350"/>
      <c r="C282" s="886" t="s">
        <v>864</v>
      </c>
      <c r="D282" s="286">
        <v>0</v>
      </c>
      <c r="E282" s="286"/>
      <c r="F282" s="287">
        <v>0</v>
      </c>
    </row>
    <row r="283" spans="1:6" ht="12.75" customHeight="1">
      <c r="A283" s="280"/>
      <c r="B283" s="350"/>
      <c r="C283" s="886" t="s">
        <v>865</v>
      </c>
      <c r="D283" s="286">
        <v>14082</v>
      </c>
      <c r="E283" s="286"/>
      <c r="F283" s="287">
        <f>D283</f>
        <v>14082</v>
      </c>
    </row>
    <row r="284" spans="1:6" ht="12.75" customHeight="1">
      <c r="A284" s="280"/>
      <c r="B284" s="350"/>
      <c r="C284" s="886" t="s">
        <v>866</v>
      </c>
      <c r="D284" s="286">
        <v>7007</v>
      </c>
      <c r="E284" s="286"/>
      <c r="F284" s="287">
        <f>D284</f>
        <v>7007</v>
      </c>
    </row>
    <row r="285" spans="1:6" ht="12.75" customHeight="1">
      <c r="A285" s="280"/>
      <c r="B285" s="350" t="s">
        <v>907</v>
      </c>
      <c r="C285" s="887" t="s">
        <v>908</v>
      </c>
      <c r="D285" s="286"/>
      <c r="E285" s="286"/>
      <c r="F285" s="287"/>
    </row>
    <row r="286" spans="1:6" ht="12.75" customHeight="1">
      <c r="A286" s="280"/>
      <c r="B286" s="350"/>
      <c r="C286" s="886" t="s">
        <v>864</v>
      </c>
      <c r="D286" s="286">
        <v>0</v>
      </c>
      <c r="E286" s="286"/>
      <c r="F286" s="287">
        <v>0</v>
      </c>
    </row>
    <row r="287" spans="1:6" ht="12.75" customHeight="1">
      <c r="A287" s="280"/>
      <c r="B287" s="350"/>
      <c r="C287" s="886" t="s">
        <v>865</v>
      </c>
      <c r="D287" s="286">
        <v>70</v>
      </c>
      <c r="E287" s="286"/>
      <c r="F287" s="287">
        <v>0</v>
      </c>
    </row>
    <row r="288" spans="1:6" ht="12.75" customHeight="1">
      <c r="A288" s="280"/>
      <c r="B288" s="350"/>
      <c r="C288" s="886" t="s">
        <v>866</v>
      </c>
      <c r="D288" s="286">
        <v>75</v>
      </c>
      <c r="E288" s="286"/>
      <c r="F288" s="287">
        <v>75</v>
      </c>
    </row>
    <row r="289" spans="1:6" ht="17.25" customHeight="1">
      <c r="A289" s="296" t="s">
        <v>318</v>
      </c>
      <c r="B289" s="352"/>
      <c r="C289" s="1861" t="s">
        <v>757</v>
      </c>
      <c r="D289" s="1862"/>
      <c r="E289" s="1862"/>
      <c r="F289" s="1863"/>
    </row>
    <row r="290" spans="1:6" ht="12.75" customHeight="1">
      <c r="A290" s="296"/>
      <c r="B290" s="350" t="s">
        <v>526</v>
      </c>
      <c r="C290" s="58" t="s">
        <v>678</v>
      </c>
      <c r="D290" s="286"/>
      <c r="E290" s="286"/>
      <c r="F290" s="287"/>
    </row>
    <row r="291" spans="1:6" ht="12.75" customHeight="1">
      <c r="A291" s="296"/>
      <c r="B291" s="350"/>
      <c r="C291" s="153" t="s">
        <v>864</v>
      </c>
      <c r="D291" s="286"/>
      <c r="E291" s="286">
        <v>49500</v>
      </c>
      <c r="F291" s="287">
        <f aca="true" t="shared" si="6" ref="F291:F305">D291+E291</f>
        <v>49500</v>
      </c>
    </row>
    <row r="292" spans="1:6" ht="12.75" customHeight="1">
      <c r="A292" s="296"/>
      <c r="B292" s="350"/>
      <c r="C292" s="153" t="s">
        <v>865</v>
      </c>
      <c r="D292" s="286"/>
      <c r="E292" s="286">
        <v>49500</v>
      </c>
      <c r="F292" s="287">
        <f t="shared" si="6"/>
        <v>49500</v>
      </c>
    </row>
    <row r="293" spans="1:6" ht="12.75" customHeight="1">
      <c r="A293" s="296"/>
      <c r="B293" s="350"/>
      <c r="C293" s="153" t="s">
        <v>866</v>
      </c>
      <c r="D293" s="286"/>
      <c r="E293" s="286">
        <v>49879</v>
      </c>
      <c r="F293" s="287">
        <f t="shared" si="6"/>
        <v>49879</v>
      </c>
    </row>
    <row r="294" spans="1:6" ht="12.75" customHeight="1">
      <c r="A294" s="296"/>
      <c r="B294" s="350" t="s">
        <v>527</v>
      </c>
      <c r="C294" s="90" t="s">
        <v>677</v>
      </c>
      <c r="D294" s="286"/>
      <c r="E294" s="286"/>
      <c r="F294" s="287"/>
    </row>
    <row r="295" spans="1:6" ht="12.75" customHeight="1">
      <c r="A295" s="296"/>
      <c r="B295" s="350"/>
      <c r="C295" s="153" t="s">
        <v>864</v>
      </c>
      <c r="D295" s="286"/>
      <c r="E295" s="286">
        <v>223718</v>
      </c>
      <c r="F295" s="287">
        <f t="shared" si="6"/>
        <v>223718</v>
      </c>
    </row>
    <row r="296" spans="1:6" ht="12.75" customHeight="1">
      <c r="A296" s="296"/>
      <c r="B296" s="350"/>
      <c r="C296" s="153" t="s">
        <v>865</v>
      </c>
      <c r="D296" s="286"/>
      <c r="E296" s="286">
        <v>223718</v>
      </c>
      <c r="F296" s="287">
        <f t="shared" si="6"/>
        <v>223718</v>
      </c>
    </row>
    <row r="297" spans="1:6" ht="12.75" customHeight="1">
      <c r="A297" s="296"/>
      <c r="B297" s="350"/>
      <c r="C297" s="153" t="s">
        <v>866</v>
      </c>
      <c r="D297" s="286"/>
      <c r="E297" s="286">
        <v>166094</v>
      </c>
      <c r="F297" s="287">
        <f t="shared" si="6"/>
        <v>166094</v>
      </c>
    </row>
    <row r="298" spans="1:6" ht="12.75" customHeight="1">
      <c r="A298" s="296"/>
      <c r="B298" s="350" t="s">
        <v>528</v>
      </c>
      <c r="C298" s="90" t="s">
        <v>676</v>
      </c>
      <c r="D298" s="286"/>
      <c r="E298" s="286"/>
      <c r="F298" s="287"/>
    </row>
    <row r="299" spans="1:6" ht="12.75" customHeight="1">
      <c r="A299" s="296"/>
      <c r="B299" s="350"/>
      <c r="C299" s="153" t="s">
        <v>864</v>
      </c>
      <c r="D299" s="286"/>
      <c r="E299" s="286">
        <v>336471</v>
      </c>
      <c r="F299" s="287">
        <f t="shared" si="6"/>
        <v>336471</v>
      </c>
    </row>
    <row r="300" spans="1:6" ht="12.75" customHeight="1">
      <c r="A300" s="296"/>
      <c r="B300" s="350"/>
      <c r="C300" s="153" t="s">
        <v>865</v>
      </c>
      <c r="D300" s="286"/>
      <c r="E300" s="286">
        <v>286569</v>
      </c>
      <c r="F300" s="287">
        <f t="shared" si="6"/>
        <v>286569</v>
      </c>
    </row>
    <row r="301" spans="1:6" ht="12.75" customHeight="1">
      <c r="A301" s="296"/>
      <c r="B301" s="350"/>
      <c r="C301" s="153" t="s">
        <v>866</v>
      </c>
      <c r="D301" s="286"/>
      <c r="E301" s="286">
        <v>309494</v>
      </c>
      <c r="F301" s="287">
        <f t="shared" si="6"/>
        <v>309494</v>
      </c>
    </row>
    <row r="302" spans="1:6" ht="12.75" customHeight="1">
      <c r="A302" s="296"/>
      <c r="B302" s="350" t="s">
        <v>529</v>
      </c>
      <c r="C302" s="353" t="s">
        <v>697</v>
      </c>
      <c r="D302" s="286"/>
      <c r="E302" s="286"/>
      <c r="F302" s="287"/>
    </row>
    <row r="303" spans="1:6" ht="12.75" customHeight="1">
      <c r="A303" s="296"/>
      <c r="B303" s="350"/>
      <c r="C303" s="153" t="s">
        <v>864</v>
      </c>
      <c r="D303" s="286"/>
      <c r="E303" s="286">
        <v>232909</v>
      </c>
      <c r="F303" s="287">
        <f t="shared" si="6"/>
        <v>232909</v>
      </c>
    </row>
    <row r="304" spans="1:6" ht="12.75" customHeight="1">
      <c r="A304" s="296"/>
      <c r="B304" s="350"/>
      <c r="C304" s="886" t="s">
        <v>865</v>
      </c>
      <c r="D304" s="286"/>
      <c r="E304" s="286">
        <v>236602</v>
      </c>
      <c r="F304" s="287">
        <f t="shared" si="6"/>
        <v>236602</v>
      </c>
    </row>
    <row r="305" spans="1:6" ht="12.75" customHeight="1">
      <c r="A305" s="296"/>
      <c r="B305" s="350"/>
      <c r="C305" s="886" t="s">
        <v>866</v>
      </c>
      <c r="D305" s="345"/>
      <c r="E305" s="345">
        <v>6862</v>
      </c>
      <c r="F305" s="287">
        <f t="shared" si="6"/>
        <v>6862</v>
      </c>
    </row>
    <row r="306" spans="1:6" ht="12.75" customHeight="1">
      <c r="A306" s="296"/>
      <c r="B306" s="350" t="s">
        <v>530</v>
      </c>
      <c r="C306" s="913" t="s">
        <v>1039</v>
      </c>
      <c r="D306" s="345"/>
      <c r="E306" s="345"/>
      <c r="F306" s="368"/>
    </row>
    <row r="307" spans="1:6" ht="12.75" customHeight="1">
      <c r="A307" s="296"/>
      <c r="B307" s="350"/>
      <c r="C307" s="886" t="s">
        <v>864</v>
      </c>
      <c r="D307" s="345"/>
      <c r="E307" s="345">
        <v>0</v>
      </c>
      <c r="F307" s="368">
        <v>0</v>
      </c>
    </row>
    <row r="308" spans="1:6" ht="12.75" customHeight="1">
      <c r="A308" s="296"/>
      <c r="B308" s="350"/>
      <c r="C308" s="886" t="s">
        <v>865</v>
      </c>
      <c r="D308" s="345"/>
      <c r="E308" s="345">
        <v>81836</v>
      </c>
      <c r="F308" s="368">
        <v>81836</v>
      </c>
    </row>
    <row r="309" spans="1:6" ht="12.75" customHeight="1">
      <c r="A309" s="296"/>
      <c r="B309" s="350"/>
      <c r="C309" s="886" t="s">
        <v>866</v>
      </c>
      <c r="D309" s="345"/>
      <c r="E309" s="345">
        <v>81836</v>
      </c>
      <c r="F309" s="368">
        <v>81836</v>
      </c>
    </row>
    <row r="310" spans="1:6" ht="12.75" customHeight="1">
      <c r="A310" s="296"/>
      <c r="B310" s="350" t="s">
        <v>531</v>
      </c>
      <c r="C310" s="57" t="s">
        <v>1040</v>
      </c>
      <c r="D310" s="286"/>
      <c r="E310" s="286"/>
      <c r="F310" s="368"/>
    </row>
    <row r="311" spans="1:6" ht="12.75" customHeight="1">
      <c r="A311" s="296"/>
      <c r="B311" s="350"/>
      <c r="C311" s="886" t="s">
        <v>864</v>
      </c>
      <c r="D311" s="345"/>
      <c r="E311" s="345">
        <v>0</v>
      </c>
      <c r="F311" s="368">
        <v>0</v>
      </c>
    </row>
    <row r="312" spans="1:6" ht="12.75" customHeight="1">
      <c r="A312" s="296"/>
      <c r="B312" s="350"/>
      <c r="C312" s="886" t="s">
        <v>865</v>
      </c>
      <c r="D312" s="345"/>
      <c r="E312" s="345">
        <v>0</v>
      </c>
      <c r="F312" s="368">
        <v>0</v>
      </c>
    </row>
    <row r="313" spans="1:6" ht="12.75" customHeight="1">
      <c r="A313" s="296"/>
      <c r="B313" s="350"/>
      <c r="C313" s="886" t="s">
        <v>866</v>
      </c>
      <c r="D313" s="345"/>
      <c r="E313" s="345">
        <v>2607</v>
      </c>
      <c r="F313" s="368">
        <v>2607</v>
      </c>
    </row>
    <row r="314" spans="1:6" s="12" customFormat="1" ht="18" customHeight="1">
      <c r="A314" s="296" t="s">
        <v>319</v>
      </c>
      <c r="B314" s="352"/>
      <c r="C314" s="1870" t="s">
        <v>756</v>
      </c>
      <c r="D314" s="1871"/>
      <c r="E314" s="1871"/>
      <c r="F314" s="1872"/>
    </row>
    <row r="315" spans="1:6" ht="12.75" customHeight="1">
      <c r="A315" s="296"/>
      <c r="B315" s="350" t="s">
        <v>526</v>
      </c>
      <c r="C315" s="354" t="s">
        <v>698</v>
      </c>
      <c r="D315" s="347"/>
      <c r="E315" s="347"/>
      <c r="F315" s="291"/>
    </row>
    <row r="316" spans="1:6" ht="12.75" customHeight="1">
      <c r="A316" s="296"/>
      <c r="B316" s="350"/>
      <c r="C316" s="153" t="s">
        <v>864</v>
      </c>
      <c r="D316" s="286"/>
      <c r="E316" s="286">
        <v>39850</v>
      </c>
      <c r="F316" s="287">
        <f>D316+E316</f>
        <v>39850</v>
      </c>
    </row>
    <row r="317" spans="1:6" ht="12.75" customHeight="1">
      <c r="A317" s="296"/>
      <c r="B317" s="350"/>
      <c r="C317" s="153" t="s">
        <v>865</v>
      </c>
      <c r="D317" s="286"/>
      <c r="E317" s="286">
        <v>39850</v>
      </c>
      <c r="F317" s="287">
        <f>E317+D317</f>
        <v>39850</v>
      </c>
    </row>
    <row r="318" spans="1:6" ht="12.75" customHeight="1">
      <c r="A318" s="296"/>
      <c r="B318" s="350"/>
      <c r="C318" s="153" t="s">
        <v>866</v>
      </c>
      <c r="D318" s="289"/>
      <c r="E318" s="289">
        <v>0</v>
      </c>
      <c r="F318" s="311">
        <f>E318+D318</f>
        <v>0</v>
      </c>
    </row>
    <row r="319" spans="1:6" ht="12.75" customHeight="1">
      <c r="A319" s="296"/>
      <c r="B319" s="350" t="s">
        <v>527</v>
      </c>
      <c r="C319" s="551" t="s">
        <v>468</v>
      </c>
      <c r="D319" s="286"/>
      <c r="E319" s="286"/>
      <c r="F319" s="327"/>
    </row>
    <row r="320" spans="1:6" ht="12.75" customHeight="1">
      <c r="A320" s="296"/>
      <c r="B320" s="350"/>
      <c r="C320" s="153" t="s">
        <v>864</v>
      </c>
      <c r="D320" s="286"/>
      <c r="E320" s="286">
        <v>0</v>
      </c>
      <c r="F320" s="327">
        <v>0</v>
      </c>
    </row>
    <row r="321" spans="1:6" ht="12.75" customHeight="1">
      <c r="A321" s="296"/>
      <c r="B321" s="350"/>
      <c r="C321" s="153" t="s">
        <v>865</v>
      </c>
      <c r="D321" s="286"/>
      <c r="E321" s="286">
        <v>415</v>
      </c>
      <c r="F321" s="327">
        <v>415</v>
      </c>
    </row>
    <row r="322" spans="1:6" ht="12.75" customHeight="1" thickBot="1">
      <c r="A322" s="296"/>
      <c r="B322" s="350"/>
      <c r="C322" s="153" t="s">
        <v>866</v>
      </c>
      <c r="D322" s="289"/>
      <c r="E322" s="289">
        <v>0</v>
      </c>
      <c r="F322" s="311">
        <v>0</v>
      </c>
    </row>
    <row r="323" spans="1:6" ht="13.5" customHeight="1" thickTop="1">
      <c r="A323" s="292" t="s">
        <v>353</v>
      </c>
      <c r="B323" s="293"/>
      <c r="C323" s="356" t="s">
        <v>728</v>
      </c>
      <c r="D323" s="294"/>
      <c r="E323" s="294"/>
      <c r="F323" s="295"/>
    </row>
    <row r="324" spans="1:6" ht="13.5" customHeight="1">
      <c r="A324" s="296"/>
      <c r="B324" s="307"/>
      <c r="C324" s="153" t="s">
        <v>864</v>
      </c>
      <c r="D324" s="357">
        <f>D194+D198+D202+D206+D210+D214+D218+D222+D226+D230+D234+D238+D242+D246+D250+D254+D258+D262+D266+D270+D274+D278+D291+D295+D299+D303+D316</f>
        <v>267590</v>
      </c>
      <c r="E324" s="357">
        <f>E194+E198+E202+E206+E210+E214+E218+E222+E226+E230+E234+E238+E242+E246+E250+E254+E258+E262+E266+E270+E274+E278+E291+E295+E299+E303+E316</f>
        <v>908149</v>
      </c>
      <c r="F324" s="358">
        <f>E324+D324</f>
        <v>1175739</v>
      </c>
    </row>
    <row r="325" spans="1:6" ht="13.5" customHeight="1">
      <c r="A325" s="296"/>
      <c r="B325" s="307"/>
      <c r="C325" s="153" t="s">
        <v>865</v>
      </c>
      <c r="D325" s="357">
        <f>D195+D199+D203+D207+D211+D215+D219+D223+D227+D231+D235+D239+D243+D247+D251+D255+D259+D263+D267+D271+D275+D279+D292+D296+D300+D304+D317+D283+D287</f>
        <v>192700</v>
      </c>
      <c r="E325" s="357">
        <f>E195+E199+E203+E207+E211+E215+E219+E223+E227+E231+E235+E239+E243+E247+E251+E255+E259+E263+E267+E271+E275+E279+E292+E296+E300+E304+E317+E308+E321</f>
        <v>944191</v>
      </c>
      <c r="F325" s="327">
        <f>E325+D325</f>
        <v>1136891</v>
      </c>
    </row>
    <row r="326" spans="1:6" ht="13.5" customHeight="1" thickBot="1">
      <c r="A326" s="300"/>
      <c r="B326" s="339"/>
      <c r="C326" s="201" t="s">
        <v>866</v>
      </c>
      <c r="D326" s="357">
        <f>D196+D200+D204+D208+D212+D216+D220+D224+D228+D232+D236+D240+D244+D248+D252+D256+D260+D264+D268+D272+D276+D280+D293+D297+D301+D305+D318+D284+D288+D309+D322</f>
        <v>140118</v>
      </c>
      <c r="E326" s="357">
        <f>E196+E200+E204+E208+E212+E216+E220+E224+E228+E313+E232+E236+E240+E244+E248+E252+E256+E260+E264+E268+E272+E276+E280+E293+E297+E301+E305+E318+E309+E322</f>
        <v>623272</v>
      </c>
      <c r="F326" s="359">
        <f>E326+D326</f>
        <v>763390</v>
      </c>
    </row>
    <row r="327" spans="1:6" ht="10.5" customHeight="1" thickTop="1">
      <c r="A327" s="126"/>
      <c r="B327" s="127"/>
      <c r="C327" s="360"/>
      <c r="D327" s="321"/>
      <c r="E327" s="361"/>
      <c r="F327" s="362"/>
    </row>
    <row r="328" spans="1:6" s="12" customFormat="1" ht="12" customHeight="1">
      <c r="A328" s="296" t="s">
        <v>376</v>
      </c>
      <c r="B328" s="307"/>
      <c r="C328" s="332" t="s">
        <v>729</v>
      </c>
      <c r="D328" s="309"/>
      <c r="E328" s="310"/>
      <c r="F328" s="284"/>
    </row>
    <row r="329" spans="1:6" s="12" customFormat="1" ht="4.5" customHeight="1">
      <c r="A329" s="296"/>
      <c r="B329" s="307"/>
      <c r="C329" s="332"/>
      <c r="D329" s="309"/>
      <c r="E329" s="310"/>
      <c r="F329" s="284"/>
    </row>
    <row r="330" spans="1:6" s="12" customFormat="1" ht="10.5" customHeight="1">
      <c r="A330" s="296" t="s">
        <v>316</v>
      </c>
      <c r="B330" s="307"/>
      <c r="C330" s="334" t="s">
        <v>620</v>
      </c>
      <c r="D330" s="299"/>
      <c r="E330" s="299"/>
      <c r="F330" s="287"/>
    </row>
    <row r="331" spans="1:6" s="12" customFormat="1" ht="10.5" customHeight="1">
      <c r="A331" s="296"/>
      <c r="B331" s="281" t="s">
        <v>316</v>
      </c>
      <c r="C331" s="288" t="s">
        <v>899</v>
      </c>
      <c r="D331" s="289"/>
      <c r="E331" s="289"/>
      <c r="F331" s="879"/>
    </row>
    <row r="332" spans="1:6" s="12" customFormat="1" ht="10.5" customHeight="1">
      <c r="A332" s="296"/>
      <c r="B332" s="281"/>
      <c r="C332" s="153" t="s">
        <v>864</v>
      </c>
      <c r="D332" s="286">
        <v>0</v>
      </c>
      <c r="E332" s="286"/>
      <c r="F332" s="880">
        <v>0</v>
      </c>
    </row>
    <row r="333" spans="1:6" s="12" customFormat="1" ht="10.5" customHeight="1">
      <c r="A333" s="296"/>
      <c r="B333" s="281"/>
      <c r="C333" s="153" t="s">
        <v>865</v>
      </c>
      <c r="D333" s="286">
        <v>99</v>
      </c>
      <c r="E333" s="286"/>
      <c r="F333" s="880">
        <v>99</v>
      </c>
    </row>
    <row r="334" spans="1:6" s="12" customFormat="1" ht="10.5" customHeight="1">
      <c r="A334" s="296"/>
      <c r="B334" s="281"/>
      <c r="C334" s="153" t="s">
        <v>866</v>
      </c>
      <c r="D334" s="286">
        <v>331</v>
      </c>
      <c r="E334" s="286"/>
      <c r="F334" s="880">
        <v>331</v>
      </c>
    </row>
    <row r="335" spans="1:6" s="12" customFormat="1" ht="10.5" customHeight="1">
      <c r="A335" s="296"/>
      <c r="B335" s="281" t="s">
        <v>318</v>
      </c>
      <c r="C335" s="288" t="s">
        <v>753</v>
      </c>
      <c r="D335" s="286"/>
      <c r="E335" s="286"/>
      <c r="F335" s="880"/>
    </row>
    <row r="336" spans="1:6" s="12" customFormat="1" ht="10.5" customHeight="1">
      <c r="A336" s="296"/>
      <c r="B336" s="281"/>
      <c r="C336" s="153" t="s">
        <v>864</v>
      </c>
      <c r="D336" s="289">
        <v>0</v>
      </c>
      <c r="E336" s="289"/>
      <c r="F336" s="879">
        <v>0</v>
      </c>
    </row>
    <row r="337" spans="1:6" s="12" customFormat="1" ht="10.5" customHeight="1">
      <c r="A337" s="296"/>
      <c r="B337" s="307"/>
      <c r="C337" s="153" t="s">
        <v>865</v>
      </c>
      <c r="D337" s="286">
        <v>1486</v>
      </c>
      <c r="E337" s="286"/>
      <c r="F337" s="287">
        <v>1486</v>
      </c>
    </row>
    <row r="338" spans="1:6" s="12" customFormat="1" ht="10.5" customHeight="1">
      <c r="A338" s="296"/>
      <c r="B338" s="307"/>
      <c r="C338" s="290" t="s">
        <v>866</v>
      </c>
      <c r="D338" s="286">
        <v>2551</v>
      </c>
      <c r="E338" s="286"/>
      <c r="F338" s="287">
        <f>D338</f>
        <v>2551</v>
      </c>
    </row>
    <row r="339" spans="1:6" s="12" customFormat="1" ht="10.5" customHeight="1">
      <c r="A339" s="296"/>
      <c r="B339" s="281" t="s">
        <v>319</v>
      </c>
      <c r="C339" s="881" t="s">
        <v>914</v>
      </c>
      <c r="D339" s="286"/>
      <c r="E339" s="286"/>
      <c r="F339" s="287"/>
    </row>
    <row r="340" spans="1:6" s="12" customFormat="1" ht="10.5" customHeight="1">
      <c r="A340" s="296"/>
      <c r="B340" s="307"/>
      <c r="C340" s="187" t="s">
        <v>864</v>
      </c>
      <c r="D340" s="286">
        <v>0</v>
      </c>
      <c r="E340" s="286"/>
      <c r="F340" s="287">
        <v>0</v>
      </c>
    </row>
    <row r="341" spans="1:6" s="12" customFormat="1" ht="10.5" customHeight="1">
      <c r="A341" s="296"/>
      <c r="B341" s="307"/>
      <c r="C341" s="153" t="s">
        <v>865</v>
      </c>
      <c r="D341" s="286">
        <v>991</v>
      </c>
      <c r="E341" s="286"/>
      <c r="F341" s="287">
        <v>991</v>
      </c>
    </row>
    <row r="342" spans="1:6" s="12" customFormat="1" ht="10.5" customHeight="1">
      <c r="A342" s="296"/>
      <c r="B342" s="307"/>
      <c r="C342" s="153" t="s">
        <v>866</v>
      </c>
      <c r="D342" s="286">
        <v>0</v>
      </c>
      <c r="E342" s="286"/>
      <c r="F342" s="287">
        <v>0</v>
      </c>
    </row>
    <row r="343" spans="1:6" s="12" customFormat="1" ht="10.5" customHeight="1">
      <c r="A343" s="296"/>
      <c r="B343" s="307"/>
      <c r="C343" s="332"/>
      <c r="D343" s="286"/>
      <c r="E343" s="286"/>
      <c r="F343" s="287"/>
    </row>
    <row r="344" spans="1:6" s="12" customFormat="1" ht="12" customHeight="1">
      <c r="A344" s="296" t="s">
        <v>318</v>
      </c>
      <c r="B344" s="281"/>
      <c r="C344" s="334" t="s">
        <v>619</v>
      </c>
      <c r="D344" s="286"/>
      <c r="E344" s="286"/>
      <c r="F344" s="287"/>
    </row>
    <row r="345" spans="1:6" s="12" customFormat="1" ht="12" customHeight="1">
      <c r="A345" s="296"/>
      <c r="B345" s="281" t="s">
        <v>316</v>
      </c>
      <c r="C345" s="288" t="s">
        <v>909</v>
      </c>
      <c r="D345" s="286"/>
      <c r="E345" s="286"/>
      <c r="F345" s="287"/>
    </row>
    <row r="346" spans="1:6" s="12" customFormat="1" ht="12" customHeight="1">
      <c r="A346" s="296"/>
      <c r="B346" s="281"/>
      <c r="C346" s="153" t="s">
        <v>864</v>
      </c>
      <c r="D346" s="286"/>
      <c r="E346" s="286">
        <v>0</v>
      </c>
      <c r="F346" s="287">
        <v>0</v>
      </c>
    </row>
    <row r="347" spans="1:6" s="12" customFormat="1" ht="12" customHeight="1">
      <c r="A347" s="296"/>
      <c r="B347" s="281"/>
      <c r="C347" s="153" t="s">
        <v>865</v>
      </c>
      <c r="D347" s="286"/>
      <c r="E347" s="286">
        <v>0</v>
      </c>
      <c r="F347" s="287">
        <v>0</v>
      </c>
    </row>
    <row r="348" spans="1:6" s="12" customFormat="1" ht="12" customHeight="1">
      <c r="A348" s="296"/>
      <c r="B348" s="281"/>
      <c r="C348" s="153" t="s">
        <v>866</v>
      </c>
      <c r="D348" s="286"/>
      <c r="E348" s="286">
        <v>112</v>
      </c>
      <c r="F348" s="287">
        <f>E348</f>
        <v>112</v>
      </c>
    </row>
    <row r="349" spans="1:6" s="12" customFormat="1" ht="12" customHeight="1">
      <c r="A349" s="296"/>
      <c r="B349" s="281" t="s">
        <v>318</v>
      </c>
      <c r="C349" s="551" t="s">
        <v>898</v>
      </c>
      <c r="D349" s="289"/>
      <c r="E349" s="289"/>
      <c r="F349" s="311"/>
    </row>
    <row r="350" spans="1:6" s="12" customFormat="1" ht="12" customHeight="1">
      <c r="A350" s="296"/>
      <c r="B350" s="281"/>
      <c r="C350" s="153" t="s">
        <v>864</v>
      </c>
      <c r="D350" s="286"/>
      <c r="E350" s="286">
        <v>0</v>
      </c>
      <c r="F350" s="287">
        <v>0</v>
      </c>
    </row>
    <row r="351" spans="1:6" s="12" customFormat="1" ht="12" customHeight="1">
      <c r="A351" s="296"/>
      <c r="B351" s="281"/>
      <c r="C351" s="153" t="s">
        <v>865</v>
      </c>
      <c r="D351" s="286"/>
      <c r="E351" s="286">
        <v>210</v>
      </c>
      <c r="F351" s="287">
        <v>210</v>
      </c>
    </row>
    <row r="352" spans="1:6" s="12" customFormat="1" ht="12" customHeight="1">
      <c r="A352" s="296"/>
      <c r="B352" s="281"/>
      <c r="C352" s="153" t="s">
        <v>866</v>
      </c>
      <c r="D352" s="286"/>
      <c r="E352" s="286">
        <v>374</v>
      </c>
      <c r="F352" s="287">
        <v>374</v>
      </c>
    </row>
    <row r="353" spans="1:6" s="12" customFormat="1" ht="7.5" customHeight="1" thickBot="1">
      <c r="A353" s="296"/>
      <c r="B353" s="281"/>
      <c r="C353" s="332"/>
      <c r="D353" s="342"/>
      <c r="E353" s="342"/>
      <c r="F353" s="363"/>
    </row>
    <row r="354" spans="1:6" s="12" customFormat="1" ht="16.5" customHeight="1" thickTop="1">
      <c r="A354" s="126" t="s">
        <v>376</v>
      </c>
      <c r="B354" s="128"/>
      <c r="C354" s="364" t="s">
        <v>730</v>
      </c>
      <c r="D354" s="321"/>
      <c r="E354" s="321"/>
      <c r="F354" s="322"/>
    </row>
    <row r="355" spans="1:6" s="12" customFormat="1" ht="12.75" customHeight="1">
      <c r="A355" s="323"/>
      <c r="B355" s="324"/>
      <c r="C355" s="177" t="s">
        <v>864</v>
      </c>
      <c r="D355" s="325">
        <v>0</v>
      </c>
      <c r="E355" s="325">
        <v>0</v>
      </c>
      <c r="F355" s="338">
        <v>0</v>
      </c>
    </row>
    <row r="356" spans="1:6" s="12" customFormat="1" ht="12.75" customHeight="1">
      <c r="A356" s="296"/>
      <c r="B356" s="307"/>
      <c r="C356" s="153" t="s">
        <v>865</v>
      </c>
      <c r="D356" s="299">
        <f>D333+D337+D341</f>
        <v>2576</v>
      </c>
      <c r="E356" s="299">
        <f>E351</f>
        <v>210</v>
      </c>
      <c r="F356" s="287">
        <f>E356+D356</f>
        <v>2786</v>
      </c>
    </row>
    <row r="357" spans="1:6" s="12" customFormat="1" ht="12.75" customHeight="1" thickBot="1">
      <c r="A357" s="300"/>
      <c r="B357" s="339"/>
      <c r="C357" s="201" t="s">
        <v>866</v>
      </c>
      <c r="D357" s="365">
        <f>D338+D334+D342</f>
        <v>2882</v>
      </c>
      <c r="E357" s="365">
        <f>E348+E352</f>
        <v>486</v>
      </c>
      <c r="F357" s="355">
        <f>E357+D357</f>
        <v>3368</v>
      </c>
    </row>
    <row r="358" spans="1:6" s="12" customFormat="1" ht="6.75" customHeight="1" thickTop="1">
      <c r="A358" s="296"/>
      <c r="B358" s="307"/>
      <c r="C358" s="332"/>
      <c r="D358" s="298"/>
      <c r="E358" s="366"/>
      <c r="F358" s="341"/>
    </row>
    <row r="359" spans="1:6" s="12" customFormat="1" ht="13.5" customHeight="1">
      <c r="A359" s="296" t="s">
        <v>406</v>
      </c>
      <c r="B359" s="307"/>
      <c r="C359" s="332" t="s">
        <v>731</v>
      </c>
      <c r="D359" s="298"/>
      <c r="E359" s="366"/>
      <c r="F359" s="341"/>
    </row>
    <row r="360" spans="1:6" s="12" customFormat="1" ht="4.5" customHeight="1">
      <c r="A360" s="296"/>
      <c r="B360" s="307"/>
      <c r="C360" s="332"/>
      <c r="D360" s="298"/>
      <c r="E360" s="366"/>
      <c r="F360" s="341"/>
    </row>
    <row r="361" spans="1:6" s="12" customFormat="1" ht="13.5" customHeight="1">
      <c r="A361" s="280" t="s">
        <v>316</v>
      </c>
      <c r="B361" s="281"/>
      <c r="C361" s="288" t="s">
        <v>368</v>
      </c>
      <c r="D361" s="312"/>
      <c r="E361" s="286"/>
      <c r="F361" s="287"/>
    </row>
    <row r="362" spans="1:6" s="12" customFormat="1" ht="11.25" customHeight="1">
      <c r="A362" s="280"/>
      <c r="B362" s="281"/>
      <c r="C362" s="153" t="s">
        <v>864</v>
      </c>
      <c r="D362" s="367"/>
      <c r="E362" s="345">
        <v>50</v>
      </c>
      <c r="F362" s="368">
        <f>D362+E362</f>
        <v>50</v>
      </c>
    </row>
    <row r="363" spans="1:6" s="12" customFormat="1" ht="11.25" customHeight="1">
      <c r="A363" s="280"/>
      <c r="B363" s="281"/>
      <c r="C363" s="153" t="s">
        <v>865</v>
      </c>
      <c r="D363" s="312"/>
      <c r="E363" s="286">
        <v>50</v>
      </c>
      <c r="F363" s="287">
        <f aca="true" t="shared" si="7" ref="F363:F372">D363+E363</f>
        <v>50</v>
      </c>
    </row>
    <row r="364" spans="1:6" s="12" customFormat="1" ht="11.25" customHeight="1">
      <c r="A364" s="280"/>
      <c r="B364" s="281"/>
      <c r="C364" s="153" t="s">
        <v>866</v>
      </c>
      <c r="D364" s="312"/>
      <c r="E364" s="286">
        <v>47</v>
      </c>
      <c r="F364" s="287">
        <f t="shared" si="7"/>
        <v>47</v>
      </c>
    </row>
    <row r="365" spans="1:6" s="12" customFormat="1" ht="11.25" customHeight="1">
      <c r="A365" s="280" t="s">
        <v>318</v>
      </c>
      <c r="B365" s="281"/>
      <c r="C365" s="335" t="s">
        <v>486</v>
      </c>
      <c r="D365" s="312"/>
      <c r="E365" s="286"/>
      <c r="F365" s="287"/>
    </row>
    <row r="366" spans="1:6" s="12" customFormat="1" ht="11.25" customHeight="1">
      <c r="A366" s="280"/>
      <c r="B366" s="281"/>
      <c r="C366" s="153" t="s">
        <v>864</v>
      </c>
      <c r="D366" s="312"/>
      <c r="E366" s="286">
        <v>523</v>
      </c>
      <c r="F366" s="287">
        <f t="shared" si="7"/>
        <v>523</v>
      </c>
    </row>
    <row r="367" spans="1:6" s="12" customFormat="1" ht="11.25" customHeight="1">
      <c r="A367" s="280"/>
      <c r="B367" s="281"/>
      <c r="C367" s="153" t="s">
        <v>865</v>
      </c>
      <c r="D367" s="312"/>
      <c r="E367" s="286">
        <v>523</v>
      </c>
      <c r="F367" s="287">
        <f t="shared" si="7"/>
        <v>523</v>
      </c>
    </row>
    <row r="368" spans="1:6" s="12" customFormat="1" ht="11.25" customHeight="1">
      <c r="A368" s="280"/>
      <c r="B368" s="281"/>
      <c r="C368" s="153" t="s">
        <v>866</v>
      </c>
      <c r="D368" s="312"/>
      <c r="E368" s="286">
        <v>1672</v>
      </c>
      <c r="F368" s="287">
        <f t="shared" si="7"/>
        <v>1672</v>
      </c>
    </row>
    <row r="369" spans="1:6" s="12" customFormat="1" ht="11.25" customHeight="1">
      <c r="A369" s="280" t="s">
        <v>319</v>
      </c>
      <c r="B369" s="281"/>
      <c r="C369" s="303" t="s">
        <v>705</v>
      </c>
      <c r="D369" s="312"/>
      <c r="E369" s="286"/>
      <c r="F369" s="287"/>
    </row>
    <row r="370" spans="1:6" s="12" customFormat="1" ht="11.25" customHeight="1">
      <c r="A370" s="280"/>
      <c r="B370" s="281"/>
      <c r="C370" s="153" t="s">
        <v>864</v>
      </c>
      <c r="D370" s="312"/>
      <c r="E370" s="286">
        <v>45000</v>
      </c>
      <c r="F370" s="287">
        <f t="shared" si="7"/>
        <v>45000</v>
      </c>
    </row>
    <row r="371" spans="1:6" s="12" customFormat="1" ht="11.25" customHeight="1">
      <c r="A371" s="280"/>
      <c r="B371" s="281"/>
      <c r="C371" s="153" t="s">
        <v>865</v>
      </c>
      <c r="D371" s="312"/>
      <c r="E371" s="286">
        <v>45000</v>
      </c>
      <c r="F371" s="287">
        <f t="shared" si="7"/>
        <v>45000</v>
      </c>
    </row>
    <row r="372" spans="1:6" s="12" customFormat="1" ht="11.25" customHeight="1">
      <c r="A372" s="280"/>
      <c r="B372" s="281"/>
      <c r="C372" s="153" t="s">
        <v>866</v>
      </c>
      <c r="D372" s="312"/>
      <c r="E372" s="286">
        <v>50000</v>
      </c>
      <c r="F372" s="287">
        <f t="shared" si="7"/>
        <v>50000</v>
      </c>
    </row>
    <row r="373" spans="1:6" s="12" customFormat="1" ht="11.25" customHeight="1">
      <c r="A373" s="280" t="s">
        <v>321</v>
      </c>
      <c r="B373" s="281"/>
      <c r="C373" s="877" t="s">
        <v>143</v>
      </c>
      <c r="D373" s="312"/>
      <c r="E373" s="286"/>
      <c r="F373" s="287"/>
    </row>
    <row r="374" spans="1:6" s="12" customFormat="1" ht="11.25" customHeight="1">
      <c r="A374" s="280"/>
      <c r="B374" s="281"/>
      <c r="C374" s="153" t="s">
        <v>864</v>
      </c>
      <c r="D374" s="312"/>
      <c r="E374" s="286">
        <v>0</v>
      </c>
      <c r="F374" s="287">
        <v>0</v>
      </c>
    </row>
    <row r="375" spans="1:6" s="12" customFormat="1" ht="11.25" customHeight="1">
      <c r="A375" s="280"/>
      <c r="B375" s="281"/>
      <c r="C375" s="153" t="s">
        <v>865</v>
      </c>
      <c r="D375" s="312"/>
      <c r="E375" s="286">
        <v>1222</v>
      </c>
      <c r="F375" s="287">
        <v>1222</v>
      </c>
    </row>
    <row r="376" spans="1:6" s="12" customFormat="1" ht="11.25" customHeight="1">
      <c r="A376" s="280"/>
      <c r="B376" s="281"/>
      <c r="C376" s="153" t="s">
        <v>866</v>
      </c>
      <c r="D376" s="312"/>
      <c r="E376" s="286">
        <f>831</f>
        <v>831</v>
      </c>
      <c r="F376" s="287">
        <f>E376</f>
        <v>831</v>
      </c>
    </row>
    <row r="377" spans="1:6" s="12" customFormat="1" ht="11.25" customHeight="1">
      <c r="A377" s="280" t="s">
        <v>322</v>
      </c>
      <c r="B377" s="281"/>
      <c r="C377" s="881" t="s">
        <v>927</v>
      </c>
      <c r="D377" s="312"/>
      <c r="E377" s="286"/>
      <c r="F377" s="287"/>
    </row>
    <row r="378" spans="1:6" s="12" customFormat="1" ht="11.25" customHeight="1">
      <c r="A378" s="280"/>
      <c r="B378" s="281"/>
      <c r="C378" s="153" t="s">
        <v>864</v>
      </c>
      <c r="D378" s="312"/>
      <c r="E378" s="286">
        <v>0</v>
      </c>
      <c r="F378" s="287">
        <v>0</v>
      </c>
    </row>
    <row r="379" spans="1:6" s="12" customFormat="1" ht="11.25" customHeight="1">
      <c r="A379" s="280"/>
      <c r="B379" s="281"/>
      <c r="C379" s="290" t="s">
        <v>865</v>
      </c>
      <c r="D379" s="304"/>
      <c r="E379" s="347">
        <v>10000</v>
      </c>
      <c r="F379" s="291">
        <v>10000</v>
      </c>
    </row>
    <row r="380" spans="1:6" s="12" customFormat="1" ht="11.25" customHeight="1" thickBot="1">
      <c r="A380" s="328"/>
      <c r="B380" s="329"/>
      <c r="C380" s="201" t="s">
        <v>866</v>
      </c>
      <c r="D380" s="902"/>
      <c r="E380" s="903">
        <v>0</v>
      </c>
      <c r="F380" s="340">
        <v>0</v>
      </c>
    </row>
    <row r="381" spans="1:6" s="12" customFormat="1" ht="13.5" customHeight="1" thickTop="1">
      <c r="A381" s="292" t="s">
        <v>406</v>
      </c>
      <c r="B381" s="907"/>
      <c r="C381" s="356" t="s">
        <v>732</v>
      </c>
      <c r="D381" s="294"/>
      <c r="E381" s="294"/>
      <c r="F381" s="295"/>
    </row>
    <row r="382" spans="1:6" s="12" customFormat="1" ht="11.25" customHeight="1">
      <c r="A382" s="323"/>
      <c r="B382" s="324"/>
      <c r="C382" s="177" t="s">
        <v>864</v>
      </c>
      <c r="D382" s="325">
        <f>D362+D366+D370</f>
        <v>0</v>
      </c>
      <c r="E382" s="325">
        <f>E362+E366+E370</f>
        <v>45573</v>
      </c>
      <c r="F382" s="326">
        <f>F362+F366+F370</f>
        <v>45573</v>
      </c>
    </row>
    <row r="383" spans="1:6" s="12" customFormat="1" ht="11.25" customHeight="1">
      <c r="A383" s="296"/>
      <c r="B383" s="307"/>
      <c r="C383" s="153" t="s">
        <v>865</v>
      </c>
      <c r="D383" s="299">
        <f>D363+D367+D371</f>
        <v>0</v>
      </c>
      <c r="E383" s="299">
        <f>E363+E367+E371+E375+E379</f>
        <v>56795</v>
      </c>
      <c r="F383" s="327">
        <f>F363+F367+F371+F375+F379</f>
        <v>56795</v>
      </c>
    </row>
    <row r="384" spans="1:6" s="12" customFormat="1" ht="11.25" customHeight="1" thickBot="1">
      <c r="A384" s="300"/>
      <c r="B384" s="339"/>
      <c r="C384" s="201" t="s">
        <v>866</v>
      </c>
      <c r="D384" s="365">
        <f>D364+D368+D372</f>
        <v>0</v>
      </c>
      <c r="E384" s="365">
        <f>E364+E368+E372+E376+E380</f>
        <v>52550</v>
      </c>
      <c r="F384" s="331">
        <f>F364+F368+F372+F376</f>
        <v>52550</v>
      </c>
    </row>
    <row r="385" spans="1:6" s="12" customFormat="1" ht="6.75" customHeight="1" thickTop="1">
      <c r="A385" s="296"/>
      <c r="B385" s="307"/>
      <c r="C385" s="308"/>
      <c r="D385" s="298"/>
      <c r="E385" s="366"/>
      <c r="F385" s="341"/>
    </row>
    <row r="386" spans="1:6" s="12" customFormat="1" ht="12" customHeight="1">
      <c r="A386" s="296" t="s">
        <v>408</v>
      </c>
      <c r="B386" s="307"/>
      <c r="C386" s="308" t="s">
        <v>733</v>
      </c>
      <c r="D386" s="298"/>
      <c r="E386" s="366"/>
      <c r="F386" s="341"/>
    </row>
    <row r="387" spans="1:6" s="12" customFormat="1" ht="6" customHeight="1">
      <c r="A387" s="296"/>
      <c r="B387" s="307"/>
      <c r="C387" s="308"/>
      <c r="D387" s="298"/>
      <c r="E387" s="366"/>
      <c r="F387" s="341"/>
    </row>
    <row r="388" spans="1:6" s="12" customFormat="1" ht="12" customHeight="1">
      <c r="A388" s="296" t="s">
        <v>316</v>
      </c>
      <c r="B388" s="307"/>
      <c r="C388" s="334" t="s">
        <v>624</v>
      </c>
      <c r="D388" s="299"/>
      <c r="E388" s="299"/>
      <c r="F388" s="287"/>
    </row>
    <row r="389" spans="1:6" s="12" customFormat="1" ht="27" customHeight="1">
      <c r="A389" s="280"/>
      <c r="B389" s="281" t="s">
        <v>316</v>
      </c>
      <c r="C389" s="369" t="s">
        <v>758</v>
      </c>
      <c r="D389" s="289"/>
      <c r="E389" s="289"/>
      <c r="F389" s="311"/>
    </row>
    <row r="390" spans="1:6" s="12" customFormat="1" ht="12.75" customHeight="1">
      <c r="A390" s="280"/>
      <c r="B390" s="281"/>
      <c r="C390" s="153" t="s">
        <v>864</v>
      </c>
      <c r="D390" s="286"/>
      <c r="E390" s="286">
        <v>20939</v>
      </c>
      <c r="F390" s="287">
        <f>E390+D390</f>
        <v>20939</v>
      </c>
    </row>
    <row r="391" spans="1:6" s="12" customFormat="1" ht="12.75" customHeight="1">
      <c r="A391" s="280"/>
      <c r="B391" s="281"/>
      <c r="C391" s="153" t="s">
        <v>865</v>
      </c>
      <c r="D391" s="286"/>
      <c r="E391" s="286">
        <v>20939</v>
      </c>
      <c r="F391" s="287">
        <f aca="true" t="shared" si="8" ref="F391:F409">E391+D391</f>
        <v>20939</v>
      </c>
    </row>
    <row r="392" spans="1:6" s="12" customFormat="1" ht="12.75" customHeight="1">
      <c r="A392" s="280"/>
      <c r="B392" s="281"/>
      <c r="C392" s="153" t="s">
        <v>866</v>
      </c>
      <c r="D392" s="286"/>
      <c r="E392" s="286">
        <v>0</v>
      </c>
      <c r="F392" s="287">
        <f t="shared" si="8"/>
        <v>0</v>
      </c>
    </row>
    <row r="393" spans="1:6" s="12" customFormat="1" ht="12.75" customHeight="1">
      <c r="A393" s="280"/>
      <c r="B393" s="281" t="s">
        <v>318</v>
      </c>
      <c r="C393" s="106" t="s">
        <v>759</v>
      </c>
      <c r="D393" s="286"/>
      <c r="E393" s="286"/>
      <c r="F393" s="327"/>
    </row>
    <row r="394" spans="1:6" s="12" customFormat="1" ht="12.75" customHeight="1">
      <c r="A394" s="280"/>
      <c r="B394" s="281"/>
      <c r="C394" s="153" t="s">
        <v>864</v>
      </c>
      <c r="D394" s="286">
        <v>5091</v>
      </c>
      <c r="E394" s="286"/>
      <c r="F394" s="327">
        <f t="shared" si="8"/>
        <v>5091</v>
      </c>
    </row>
    <row r="395" spans="1:6" s="12" customFormat="1" ht="12.75" customHeight="1">
      <c r="A395" s="280"/>
      <c r="B395" s="281"/>
      <c r="C395" s="153" t="s">
        <v>865</v>
      </c>
      <c r="D395" s="286">
        <v>5091</v>
      </c>
      <c r="E395" s="286"/>
      <c r="F395" s="327">
        <f t="shared" si="8"/>
        <v>5091</v>
      </c>
    </row>
    <row r="396" spans="1:6" s="12" customFormat="1" ht="12.75" customHeight="1">
      <c r="A396" s="280"/>
      <c r="B396" s="281"/>
      <c r="C396" s="153" t="s">
        <v>866</v>
      </c>
      <c r="D396" s="286">
        <v>5091</v>
      </c>
      <c r="E396" s="286"/>
      <c r="F396" s="327">
        <f t="shared" si="8"/>
        <v>5091</v>
      </c>
    </row>
    <row r="397" spans="1:6" s="12" customFormat="1" ht="36.75" customHeight="1">
      <c r="A397" s="280"/>
      <c r="B397" s="281" t="s">
        <v>319</v>
      </c>
      <c r="C397" s="369" t="s">
        <v>870</v>
      </c>
      <c r="D397" s="286"/>
      <c r="E397" s="286"/>
      <c r="F397" s="327"/>
    </row>
    <row r="398" spans="1:6" s="12" customFormat="1" ht="12.75" customHeight="1">
      <c r="A398" s="280"/>
      <c r="B398" s="281"/>
      <c r="C398" s="153" t="s">
        <v>864</v>
      </c>
      <c r="D398" s="286"/>
      <c r="E398" s="286">
        <v>3540</v>
      </c>
      <c r="F398" s="327">
        <f t="shared" si="8"/>
        <v>3540</v>
      </c>
    </row>
    <row r="399" spans="1:6" s="12" customFormat="1" ht="12.75" customHeight="1">
      <c r="A399" s="280"/>
      <c r="B399" s="281"/>
      <c r="C399" s="153" t="s">
        <v>865</v>
      </c>
      <c r="D399" s="286"/>
      <c r="E399" s="286">
        <v>3540</v>
      </c>
      <c r="F399" s="327">
        <f t="shared" si="8"/>
        <v>3540</v>
      </c>
    </row>
    <row r="400" spans="1:6" s="12" customFormat="1" ht="12.75" customHeight="1">
      <c r="A400" s="280"/>
      <c r="B400" s="281"/>
      <c r="C400" s="153" t="s">
        <v>866</v>
      </c>
      <c r="D400" s="286"/>
      <c r="E400" s="286">
        <v>0</v>
      </c>
      <c r="F400" s="327">
        <f t="shared" si="8"/>
        <v>0</v>
      </c>
    </row>
    <row r="401" spans="1:6" s="12" customFormat="1" ht="12.75" customHeight="1">
      <c r="A401" s="280"/>
      <c r="B401" s="281" t="s">
        <v>321</v>
      </c>
      <c r="C401" s="878" t="s">
        <v>906</v>
      </c>
      <c r="D401" s="286"/>
      <c r="E401" s="286"/>
      <c r="F401" s="327"/>
    </row>
    <row r="402" spans="1:6" s="12" customFormat="1" ht="12.75" customHeight="1">
      <c r="A402" s="280"/>
      <c r="B402" s="281"/>
      <c r="C402" s="153" t="s">
        <v>864</v>
      </c>
      <c r="D402" s="286"/>
      <c r="E402" s="286">
        <v>0</v>
      </c>
      <c r="F402" s="327">
        <v>0</v>
      </c>
    </row>
    <row r="403" spans="1:6" s="12" customFormat="1" ht="12.75" customHeight="1">
      <c r="A403" s="280"/>
      <c r="B403" s="281"/>
      <c r="C403" s="153" t="s">
        <v>865</v>
      </c>
      <c r="D403" s="286"/>
      <c r="E403" s="286">
        <v>0</v>
      </c>
      <c r="F403" s="327">
        <v>0</v>
      </c>
    </row>
    <row r="404" spans="1:6" s="12" customFormat="1" ht="12.75" customHeight="1">
      <c r="A404" s="280"/>
      <c r="B404" s="281"/>
      <c r="C404" s="153" t="s">
        <v>866</v>
      </c>
      <c r="D404" s="286"/>
      <c r="E404" s="286">
        <v>1248</v>
      </c>
      <c r="F404" s="327">
        <v>1248</v>
      </c>
    </row>
    <row r="405" spans="1:6" s="12" customFormat="1" ht="12" customHeight="1">
      <c r="A405" s="296" t="s">
        <v>318</v>
      </c>
      <c r="B405" s="307"/>
      <c r="C405" s="370" t="s">
        <v>625</v>
      </c>
      <c r="D405" s="299"/>
      <c r="E405" s="299"/>
      <c r="F405" s="327"/>
    </row>
    <row r="406" spans="1:6" s="12" customFormat="1" ht="12.75" customHeight="1">
      <c r="A406" s="280"/>
      <c r="B406" s="281" t="s">
        <v>316</v>
      </c>
      <c r="C406" s="211" t="s">
        <v>1037</v>
      </c>
      <c r="D406" s="286"/>
      <c r="E406" s="286"/>
      <c r="F406" s="327"/>
    </row>
    <row r="407" spans="1:6" s="12" customFormat="1" ht="12.75" customHeight="1">
      <c r="A407" s="280"/>
      <c r="B407" s="281"/>
      <c r="C407" s="153" t="s">
        <v>864</v>
      </c>
      <c r="D407" s="286">
        <v>0</v>
      </c>
      <c r="E407" s="286">
        <v>1791</v>
      </c>
      <c r="F407" s="327">
        <f t="shared" si="8"/>
        <v>1791</v>
      </c>
    </row>
    <row r="408" spans="1:6" s="12" customFormat="1" ht="12.75" customHeight="1">
      <c r="A408" s="280"/>
      <c r="B408" s="281"/>
      <c r="C408" s="153" t="s">
        <v>865</v>
      </c>
      <c r="D408" s="286">
        <v>0</v>
      </c>
      <c r="E408" s="286">
        <v>1791</v>
      </c>
      <c r="F408" s="327">
        <f t="shared" si="8"/>
        <v>1791</v>
      </c>
    </row>
    <row r="409" spans="1:6" s="12" customFormat="1" ht="12.75" customHeight="1" thickBot="1">
      <c r="A409" s="280"/>
      <c r="B409" s="281"/>
      <c r="C409" s="187" t="s">
        <v>866</v>
      </c>
      <c r="D409" s="319">
        <v>8</v>
      </c>
      <c r="E409" s="319">
        <f>1576+184</f>
        <v>1760</v>
      </c>
      <c r="F409" s="371">
        <f t="shared" si="8"/>
        <v>1768</v>
      </c>
    </row>
    <row r="410" spans="1:6" s="12" customFormat="1" ht="12" customHeight="1" thickTop="1">
      <c r="A410" s="126" t="s">
        <v>408</v>
      </c>
      <c r="B410" s="128"/>
      <c r="C410" s="320" t="s">
        <v>734</v>
      </c>
      <c r="D410" s="321"/>
      <c r="E410" s="321"/>
      <c r="F410" s="322"/>
    </row>
    <row r="411" spans="1:6" s="12" customFormat="1" ht="12" customHeight="1">
      <c r="A411" s="323"/>
      <c r="B411" s="324"/>
      <c r="C411" s="177" t="s">
        <v>864</v>
      </c>
      <c r="D411" s="325">
        <f aca="true" t="shared" si="9" ref="D411:F412">D390+D394+D398+D407</f>
        <v>5091</v>
      </c>
      <c r="E411" s="325">
        <f t="shared" si="9"/>
        <v>26270</v>
      </c>
      <c r="F411" s="326">
        <f t="shared" si="9"/>
        <v>31361</v>
      </c>
    </row>
    <row r="412" spans="1:6" s="12" customFormat="1" ht="12" customHeight="1">
      <c r="A412" s="296"/>
      <c r="B412" s="307"/>
      <c r="C412" s="153" t="s">
        <v>865</v>
      </c>
      <c r="D412" s="299">
        <f>D391+D395+D399+D408</f>
        <v>5091</v>
      </c>
      <c r="E412" s="299">
        <f>E391+E395+E399+E408+E403</f>
        <v>26270</v>
      </c>
      <c r="F412" s="327">
        <f t="shared" si="9"/>
        <v>31361</v>
      </c>
    </row>
    <row r="413" spans="1:6" s="12" customFormat="1" ht="12" customHeight="1" thickBot="1">
      <c r="A413" s="300"/>
      <c r="B413" s="339"/>
      <c r="C413" s="201" t="s">
        <v>866</v>
      </c>
      <c r="D413" s="365">
        <f>D392+D396+D400+D409</f>
        <v>5099</v>
      </c>
      <c r="E413" s="365">
        <f>E392+E396+E400+E409+E404</f>
        <v>3008</v>
      </c>
      <c r="F413" s="331">
        <f>F392+F396+F400+F409+F404</f>
        <v>8107</v>
      </c>
    </row>
    <row r="414" spans="1:6" s="12" customFormat="1" ht="6" customHeight="1" thickTop="1">
      <c r="A414" s="296"/>
      <c r="B414" s="307"/>
      <c r="C414" s="308"/>
      <c r="D414" s="298"/>
      <c r="E414" s="366"/>
      <c r="F414" s="372"/>
    </row>
    <row r="415" spans="1:6" s="12" customFormat="1" ht="12" customHeight="1">
      <c r="A415" s="296" t="s">
        <v>409</v>
      </c>
      <c r="B415" s="307"/>
      <c r="C415" s="308" t="s">
        <v>622</v>
      </c>
      <c r="D415" s="309"/>
      <c r="E415" s="310"/>
      <c r="F415" s="333"/>
    </row>
    <row r="416" spans="1:6" s="12" customFormat="1" ht="6" customHeight="1">
      <c r="A416" s="296"/>
      <c r="B416" s="307"/>
      <c r="C416" s="308"/>
      <c r="D416" s="309"/>
      <c r="E416" s="310"/>
      <c r="F416" s="333"/>
    </row>
    <row r="417" spans="1:6" ht="10.5" customHeight="1">
      <c r="A417" s="280" t="s">
        <v>316</v>
      </c>
      <c r="B417" s="281"/>
      <c r="C417" s="288" t="s">
        <v>477</v>
      </c>
      <c r="D417" s="299"/>
      <c r="E417" s="286"/>
      <c r="F417" s="327"/>
    </row>
    <row r="418" spans="1:6" ht="10.5" customHeight="1">
      <c r="A418" s="280"/>
      <c r="B418" s="281"/>
      <c r="C418" s="153" t="s">
        <v>864</v>
      </c>
      <c r="D418" s="286">
        <v>223197</v>
      </c>
      <c r="E418" s="286"/>
      <c r="F418" s="327">
        <f>D418+E418</f>
        <v>223197</v>
      </c>
    </row>
    <row r="419" spans="1:6" ht="10.5" customHeight="1">
      <c r="A419" s="280"/>
      <c r="B419" s="281"/>
      <c r="C419" s="153" t="s">
        <v>865</v>
      </c>
      <c r="D419" s="286">
        <v>220799</v>
      </c>
      <c r="E419" s="286"/>
      <c r="F419" s="327">
        <f aca="true" t="shared" si="10" ref="F419:F504">D419+E419</f>
        <v>220799</v>
      </c>
    </row>
    <row r="420" spans="1:6" ht="10.5" customHeight="1">
      <c r="A420" s="280"/>
      <c r="B420" s="281"/>
      <c r="C420" s="153" t="s">
        <v>866</v>
      </c>
      <c r="D420" s="286">
        <v>220799</v>
      </c>
      <c r="E420" s="286"/>
      <c r="F420" s="327">
        <f t="shared" si="10"/>
        <v>220799</v>
      </c>
    </row>
    <row r="421" spans="1:6" ht="10.5" customHeight="1">
      <c r="A421" s="280" t="s">
        <v>318</v>
      </c>
      <c r="B421" s="281"/>
      <c r="C421" s="288" t="s">
        <v>933</v>
      </c>
      <c r="D421" s="299"/>
      <c r="E421" s="299"/>
      <c r="F421" s="327"/>
    </row>
    <row r="422" spans="1:6" ht="10.5" customHeight="1">
      <c r="A422" s="280"/>
      <c r="B422" s="281"/>
      <c r="C422" s="153" t="s">
        <v>864</v>
      </c>
      <c r="D422" s="286">
        <f>D426+D430+D434+D438+D442+D446</f>
        <v>0</v>
      </c>
      <c r="E422" s="286">
        <f>E426+E430+E434+E438</f>
        <v>0</v>
      </c>
      <c r="F422" s="327">
        <f t="shared" si="10"/>
        <v>0</v>
      </c>
    </row>
    <row r="423" spans="1:6" ht="10.5" customHeight="1">
      <c r="A423" s="280"/>
      <c r="B423" s="281"/>
      <c r="C423" s="153" t="s">
        <v>865</v>
      </c>
      <c r="D423" s="286">
        <f>D427+D431+D435+D439+D443+D447+D459</f>
        <v>4129</v>
      </c>
      <c r="E423" s="286">
        <f>E427+E431+E435+E439+E451+E455</f>
        <v>40339</v>
      </c>
      <c r="F423" s="327">
        <f>D423+E423</f>
        <v>44468</v>
      </c>
    </row>
    <row r="424" spans="1:6" ht="10.5" customHeight="1">
      <c r="A424" s="280"/>
      <c r="B424" s="281"/>
      <c r="C424" s="153" t="s">
        <v>866</v>
      </c>
      <c r="D424" s="286">
        <f>D428+D432+D436+D440+D444+D448+D460</f>
        <v>4129</v>
      </c>
      <c r="E424" s="286">
        <f>E428+E432+E436+E440+E444+E448+E452+E456</f>
        <v>40339</v>
      </c>
      <c r="F424" s="327">
        <f t="shared" si="10"/>
        <v>44468</v>
      </c>
    </row>
    <row r="425" spans="1:6" ht="10.5" customHeight="1">
      <c r="A425" s="280"/>
      <c r="B425" s="281" t="s">
        <v>316</v>
      </c>
      <c r="C425" s="373" t="s">
        <v>804</v>
      </c>
      <c r="D425" s="286"/>
      <c r="E425" s="286"/>
      <c r="F425" s="327"/>
    </row>
    <row r="426" spans="1:6" ht="10.5" customHeight="1">
      <c r="A426" s="280"/>
      <c r="B426" s="281"/>
      <c r="C426" s="153" t="s">
        <v>864</v>
      </c>
      <c r="D426" s="286">
        <v>0</v>
      </c>
      <c r="E426" s="286"/>
      <c r="F426" s="327">
        <f t="shared" si="10"/>
        <v>0</v>
      </c>
    </row>
    <row r="427" spans="1:6" ht="10.5" customHeight="1">
      <c r="A427" s="280"/>
      <c r="B427" s="281"/>
      <c r="C427" s="153" t="s">
        <v>865</v>
      </c>
      <c r="D427" s="286">
        <v>272</v>
      </c>
      <c r="E427" s="286"/>
      <c r="F427" s="327">
        <f t="shared" si="10"/>
        <v>272</v>
      </c>
    </row>
    <row r="428" spans="1:6" ht="10.5" customHeight="1">
      <c r="A428" s="280"/>
      <c r="B428" s="281"/>
      <c r="C428" s="153" t="s">
        <v>866</v>
      </c>
      <c r="D428" s="286">
        <v>272</v>
      </c>
      <c r="E428" s="286"/>
      <c r="F428" s="327">
        <f t="shared" si="10"/>
        <v>272</v>
      </c>
    </row>
    <row r="429" spans="1:6" ht="9.75" customHeight="1">
      <c r="A429" s="280"/>
      <c r="B429" s="281" t="s">
        <v>318</v>
      </c>
      <c r="C429" s="373" t="s">
        <v>819</v>
      </c>
      <c r="D429" s="286"/>
      <c r="E429" s="286"/>
      <c r="F429" s="327"/>
    </row>
    <row r="430" spans="1:6" ht="9.75" customHeight="1">
      <c r="A430" s="280"/>
      <c r="B430" s="281"/>
      <c r="C430" s="153" t="s">
        <v>864</v>
      </c>
      <c r="D430" s="286">
        <v>0</v>
      </c>
      <c r="E430" s="286"/>
      <c r="F430" s="327">
        <f t="shared" si="10"/>
        <v>0</v>
      </c>
    </row>
    <row r="431" spans="1:6" ht="9.75" customHeight="1">
      <c r="A431" s="280"/>
      <c r="B431" s="281"/>
      <c r="C431" s="153" t="s">
        <v>865</v>
      </c>
      <c r="D431" s="286">
        <v>1936</v>
      </c>
      <c r="E431" s="286"/>
      <c r="F431" s="327">
        <f t="shared" si="10"/>
        <v>1936</v>
      </c>
    </row>
    <row r="432" spans="1:6" ht="9.75" customHeight="1">
      <c r="A432" s="280"/>
      <c r="B432" s="281"/>
      <c r="C432" s="153" t="s">
        <v>866</v>
      </c>
      <c r="D432" s="286">
        <v>1936</v>
      </c>
      <c r="E432" s="286"/>
      <c r="F432" s="327">
        <f t="shared" si="10"/>
        <v>1936</v>
      </c>
    </row>
    <row r="433" spans="1:6" ht="9" customHeight="1">
      <c r="A433" s="280"/>
      <c r="B433" s="281" t="s">
        <v>319</v>
      </c>
      <c r="C433" s="373" t="s">
        <v>856</v>
      </c>
      <c r="D433" s="286"/>
      <c r="E433" s="286"/>
      <c r="F433" s="327"/>
    </row>
    <row r="434" spans="1:6" ht="9" customHeight="1">
      <c r="A434" s="280"/>
      <c r="B434" s="281"/>
      <c r="C434" s="153" t="s">
        <v>864</v>
      </c>
      <c r="D434" s="286"/>
      <c r="E434" s="286">
        <v>0</v>
      </c>
      <c r="F434" s="327">
        <f t="shared" si="10"/>
        <v>0</v>
      </c>
    </row>
    <row r="435" spans="1:6" ht="9" customHeight="1">
      <c r="A435" s="280"/>
      <c r="B435" s="281"/>
      <c r="C435" s="153" t="s">
        <v>865</v>
      </c>
      <c r="D435" s="286"/>
      <c r="E435" s="286">
        <v>279</v>
      </c>
      <c r="F435" s="327">
        <f t="shared" si="10"/>
        <v>279</v>
      </c>
    </row>
    <row r="436" spans="1:6" ht="9" customHeight="1">
      <c r="A436" s="280"/>
      <c r="B436" s="281"/>
      <c r="C436" s="153" t="s">
        <v>866</v>
      </c>
      <c r="D436" s="286"/>
      <c r="E436" s="286">
        <v>279</v>
      </c>
      <c r="F436" s="327">
        <f t="shared" si="10"/>
        <v>279</v>
      </c>
    </row>
    <row r="437" spans="1:6" ht="9.75" customHeight="1">
      <c r="A437" s="280"/>
      <c r="B437" s="281" t="s">
        <v>321</v>
      </c>
      <c r="C437" s="373" t="s">
        <v>676</v>
      </c>
      <c r="D437" s="286"/>
      <c r="E437" s="286"/>
      <c r="F437" s="327"/>
    </row>
    <row r="438" spans="1:6" ht="9.75" customHeight="1">
      <c r="A438" s="280"/>
      <c r="B438" s="281"/>
      <c r="C438" s="153" t="s">
        <v>864</v>
      </c>
      <c r="D438" s="286"/>
      <c r="E438" s="286">
        <v>0</v>
      </c>
      <c r="F438" s="327">
        <f t="shared" si="10"/>
        <v>0</v>
      </c>
    </row>
    <row r="439" spans="1:6" ht="9.75" customHeight="1">
      <c r="A439" s="280"/>
      <c r="B439" s="281"/>
      <c r="C439" s="153" t="s">
        <v>865</v>
      </c>
      <c r="D439" s="286"/>
      <c r="E439" s="286">
        <v>22924</v>
      </c>
      <c r="F439" s="327">
        <f t="shared" si="10"/>
        <v>22924</v>
      </c>
    </row>
    <row r="440" spans="1:6" ht="9.75" customHeight="1">
      <c r="A440" s="280"/>
      <c r="B440" s="281"/>
      <c r="C440" s="153" t="s">
        <v>866</v>
      </c>
      <c r="D440" s="286"/>
      <c r="E440" s="286">
        <v>22924</v>
      </c>
      <c r="F440" s="327">
        <f t="shared" si="10"/>
        <v>22924</v>
      </c>
    </row>
    <row r="441" spans="1:6" ht="9.75" customHeight="1">
      <c r="A441" s="280"/>
      <c r="B441" s="281" t="s">
        <v>322</v>
      </c>
      <c r="C441" s="755" t="s">
        <v>891</v>
      </c>
      <c r="D441" s="286"/>
      <c r="E441" s="286"/>
      <c r="F441" s="327"/>
    </row>
    <row r="442" spans="1:6" ht="9.75" customHeight="1">
      <c r="A442" s="280"/>
      <c r="B442" s="281"/>
      <c r="C442" s="153" t="s">
        <v>864</v>
      </c>
      <c r="D442" s="286">
        <v>0</v>
      </c>
      <c r="E442" s="286"/>
      <c r="F442" s="327">
        <f>D442</f>
        <v>0</v>
      </c>
    </row>
    <row r="443" spans="1:6" ht="9.75" customHeight="1">
      <c r="A443" s="280"/>
      <c r="B443" s="281"/>
      <c r="C443" s="153" t="s">
        <v>865</v>
      </c>
      <c r="D443" s="286">
        <v>502</v>
      </c>
      <c r="E443" s="286"/>
      <c r="F443" s="327">
        <f>D443</f>
        <v>502</v>
      </c>
    </row>
    <row r="444" spans="1:6" ht="9.75" customHeight="1">
      <c r="A444" s="280"/>
      <c r="B444" s="281"/>
      <c r="C444" s="153" t="s">
        <v>866</v>
      </c>
      <c r="D444" s="286">
        <v>502</v>
      </c>
      <c r="E444" s="286"/>
      <c r="F444" s="327">
        <f>D444</f>
        <v>502</v>
      </c>
    </row>
    <row r="445" spans="1:6" ht="9.75" customHeight="1">
      <c r="A445" s="280"/>
      <c r="B445" s="281" t="s">
        <v>323</v>
      </c>
      <c r="C445" s="755" t="s">
        <v>892</v>
      </c>
      <c r="D445" s="286"/>
      <c r="E445" s="286"/>
      <c r="F445" s="327"/>
    </row>
    <row r="446" spans="1:6" ht="9.75" customHeight="1">
      <c r="A446" s="280"/>
      <c r="B446" s="281"/>
      <c r="C446" s="153" t="s">
        <v>864</v>
      </c>
      <c r="D446" s="286">
        <v>0</v>
      </c>
      <c r="E446" s="286"/>
      <c r="F446" s="327">
        <f>D446</f>
        <v>0</v>
      </c>
    </row>
    <row r="447" spans="1:6" ht="9.75" customHeight="1">
      <c r="A447" s="280"/>
      <c r="B447" s="281"/>
      <c r="C447" s="153" t="s">
        <v>865</v>
      </c>
      <c r="D447" s="286">
        <v>512</v>
      </c>
      <c r="E447" s="286"/>
      <c r="F447" s="327">
        <f>D447</f>
        <v>512</v>
      </c>
    </row>
    <row r="448" spans="1:6" ht="9.75" customHeight="1">
      <c r="A448" s="280"/>
      <c r="B448" s="281"/>
      <c r="C448" s="153" t="s">
        <v>866</v>
      </c>
      <c r="D448" s="286">
        <v>512</v>
      </c>
      <c r="E448" s="286"/>
      <c r="F448" s="327">
        <f>D448</f>
        <v>512</v>
      </c>
    </row>
    <row r="449" spans="1:6" ht="9.75" customHeight="1">
      <c r="A449" s="280"/>
      <c r="B449" s="281" t="s">
        <v>324</v>
      </c>
      <c r="C449" s="881" t="s">
        <v>928</v>
      </c>
      <c r="D449" s="286"/>
      <c r="E449" s="286"/>
      <c r="F449" s="327"/>
    </row>
    <row r="450" spans="1:6" ht="9.75" customHeight="1">
      <c r="A450" s="280"/>
      <c r="B450" s="281"/>
      <c r="C450" s="153" t="s">
        <v>864</v>
      </c>
      <c r="D450" s="286"/>
      <c r="E450" s="286">
        <v>0</v>
      </c>
      <c r="F450" s="327">
        <v>0</v>
      </c>
    </row>
    <row r="451" spans="1:6" ht="9.75" customHeight="1">
      <c r="A451" s="280"/>
      <c r="B451" s="281"/>
      <c r="C451" s="153" t="s">
        <v>865</v>
      </c>
      <c r="D451" s="286"/>
      <c r="E451" s="286">
        <v>11377</v>
      </c>
      <c r="F451" s="327">
        <v>11377</v>
      </c>
    </row>
    <row r="452" spans="1:6" ht="9.75" customHeight="1">
      <c r="A452" s="280"/>
      <c r="B452" s="281"/>
      <c r="C452" s="153" t="s">
        <v>866</v>
      </c>
      <c r="D452" s="286"/>
      <c r="E452" s="286">
        <v>11377</v>
      </c>
      <c r="F452" s="327">
        <v>11377</v>
      </c>
    </row>
    <row r="453" spans="1:6" ht="24.75" customHeight="1">
      <c r="A453" s="280"/>
      <c r="B453" s="281" t="s">
        <v>325</v>
      </c>
      <c r="C453" s="914" t="s">
        <v>929</v>
      </c>
      <c r="D453" s="286"/>
      <c r="E453" s="286"/>
      <c r="F453" s="327"/>
    </row>
    <row r="454" spans="1:6" ht="9.75" customHeight="1">
      <c r="A454" s="280"/>
      <c r="B454" s="281"/>
      <c r="C454" s="153" t="s">
        <v>864</v>
      </c>
      <c r="D454" s="286"/>
      <c r="E454" s="286">
        <v>0</v>
      </c>
      <c r="F454" s="327">
        <v>0</v>
      </c>
    </row>
    <row r="455" spans="1:6" ht="9.75" customHeight="1">
      <c r="A455" s="280"/>
      <c r="B455" s="281"/>
      <c r="C455" s="153" t="s">
        <v>865</v>
      </c>
      <c r="D455" s="286"/>
      <c r="E455" s="286">
        <v>5759</v>
      </c>
      <c r="F455" s="327">
        <v>5759</v>
      </c>
    </row>
    <row r="456" spans="1:6" ht="9.75" customHeight="1">
      <c r="A456" s="280"/>
      <c r="B456" s="281"/>
      <c r="C456" s="153" t="s">
        <v>866</v>
      </c>
      <c r="D456" s="286"/>
      <c r="E456" s="286">
        <v>5759</v>
      </c>
      <c r="F456" s="327">
        <v>5759</v>
      </c>
    </row>
    <row r="457" spans="1:6" ht="9.75" customHeight="1">
      <c r="A457" s="280"/>
      <c r="B457" s="281" t="s">
        <v>326</v>
      </c>
      <c r="C457" s="881" t="s">
        <v>930</v>
      </c>
      <c r="D457" s="286"/>
      <c r="E457" s="286"/>
      <c r="F457" s="327"/>
    </row>
    <row r="458" spans="1:6" ht="9.75" customHeight="1">
      <c r="A458" s="280"/>
      <c r="B458" s="281"/>
      <c r="C458" s="153" t="s">
        <v>864</v>
      </c>
      <c r="D458" s="286">
        <v>0</v>
      </c>
      <c r="E458" s="286"/>
      <c r="F458" s="327">
        <v>0</v>
      </c>
    </row>
    <row r="459" spans="1:6" ht="9.75" customHeight="1">
      <c r="A459" s="280"/>
      <c r="B459" s="281"/>
      <c r="C459" s="153" t="s">
        <v>865</v>
      </c>
      <c r="D459" s="286">
        <v>907</v>
      </c>
      <c r="E459" s="286"/>
      <c r="F459" s="327">
        <v>907</v>
      </c>
    </row>
    <row r="460" spans="1:6" ht="9.75" customHeight="1">
      <c r="A460" s="280"/>
      <c r="B460" s="281"/>
      <c r="C460" s="153" t="s">
        <v>866</v>
      </c>
      <c r="D460" s="286">
        <v>907</v>
      </c>
      <c r="E460" s="286"/>
      <c r="F460" s="327">
        <v>907</v>
      </c>
    </row>
    <row r="461" spans="1:6" ht="10.5" customHeight="1">
      <c r="A461" s="280" t="s">
        <v>319</v>
      </c>
      <c r="B461" s="281"/>
      <c r="C461" s="288" t="s">
        <v>478</v>
      </c>
      <c r="D461" s="299"/>
      <c r="E461" s="286"/>
      <c r="F461" s="327"/>
    </row>
    <row r="462" spans="1:6" ht="10.5" customHeight="1">
      <c r="A462" s="280"/>
      <c r="B462" s="281"/>
      <c r="C462" s="153" t="s">
        <v>864</v>
      </c>
      <c r="D462" s="289">
        <v>256</v>
      </c>
      <c r="E462" s="289"/>
      <c r="F462" s="327">
        <f t="shared" si="10"/>
        <v>256</v>
      </c>
    </row>
    <row r="463" spans="1:6" ht="10.5" customHeight="1">
      <c r="A463" s="280"/>
      <c r="B463" s="281"/>
      <c r="C463" s="153" t="s">
        <v>865</v>
      </c>
      <c r="D463" s="286">
        <v>252</v>
      </c>
      <c r="E463" s="286"/>
      <c r="F463" s="327">
        <f t="shared" si="10"/>
        <v>252</v>
      </c>
    </row>
    <row r="464" spans="1:6" ht="10.5" customHeight="1">
      <c r="A464" s="280"/>
      <c r="B464" s="281"/>
      <c r="C464" s="153" t="s">
        <v>866</v>
      </c>
      <c r="D464" s="286">
        <v>252</v>
      </c>
      <c r="E464" s="286"/>
      <c r="F464" s="327">
        <f t="shared" si="10"/>
        <v>252</v>
      </c>
    </row>
    <row r="465" spans="1:6" ht="10.5" customHeight="1">
      <c r="A465" s="280" t="s">
        <v>321</v>
      </c>
      <c r="B465" s="281"/>
      <c r="C465" s="335" t="s">
        <v>893</v>
      </c>
      <c r="D465" s="286"/>
      <c r="E465" s="286"/>
      <c r="F465" s="327"/>
    </row>
    <row r="466" spans="1:6" ht="10.5" customHeight="1">
      <c r="A466" s="280"/>
      <c r="B466" s="281"/>
      <c r="C466" s="153" t="s">
        <v>864</v>
      </c>
      <c r="D466" s="286">
        <f>D470+D474+D478+D482+D486+D490+D498</f>
        <v>86</v>
      </c>
      <c r="E466" s="286">
        <f>E470+E474+E478+E482+E486+E490+E498</f>
        <v>0</v>
      </c>
      <c r="F466" s="327">
        <f t="shared" si="10"/>
        <v>86</v>
      </c>
    </row>
    <row r="467" spans="1:6" ht="10.5" customHeight="1">
      <c r="A467" s="280"/>
      <c r="B467" s="281"/>
      <c r="C467" s="153" t="s">
        <v>865</v>
      </c>
      <c r="D467" s="286">
        <f>D471+D475+D479+D483+D487+D491+D495</f>
        <v>87939</v>
      </c>
      <c r="E467" s="286">
        <f>E471+E475+E479+E483+E487+E491+E499</f>
        <v>0</v>
      </c>
      <c r="F467" s="327">
        <f>D467+E467</f>
        <v>87939</v>
      </c>
    </row>
    <row r="468" spans="1:6" ht="10.5" customHeight="1">
      <c r="A468" s="280"/>
      <c r="B468" s="281"/>
      <c r="C468" s="153" t="s">
        <v>866</v>
      </c>
      <c r="D468" s="289">
        <f>D472+D476+D480+D484+D488+D492+D496</f>
        <v>87939</v>
      </c>
      <c r="E468" s="289">
        <f>E472+E476+E480+E484+E488+E492+E500</f>
        <v>0</v>
      </c>
      <c r="F468" s="327">
        <f t="shared" si="10"/>
        <v>87939</v>
      </c>
    </row>
    <row r="469" spans="1:6" ht="10.5" customHeight="1">
      <c r="A469" s="280"/>
      <c r="B469" s="281" t="s">
        <v>316</v>
      </c>
      <c r="C469" s="373" t="s">
        <v>832</v>
      </c>
      <c r="D469" s="286"/>
      <c r="E469" s="286"/>
      <c r="F469" s="327"/>
    </row>
    <row r="470" spans="1:6" ht="10.5" customHeight="1">
      <c r="A470" s="280"/>
      <c r="B470" s="281"/>
      <c r="C470" s="153" t="s">
        <v>864</v>
      </c>
      <c r="D470" s="286">
        <v>86</v>
      </c>
      <c r="E470" s="286"/>
      <c r="F470" s="327">
        <f t="shared" si="10"/>
        <v>86</v>
      </c>
    </row>
    <row r="471" spans="1:6" ht="10.5" customHeight="1">
      <c r="A471" s="280"/>
      <c r="B471" s="281"/>
      <c r="C471" s="153" t="s">
        <v>865</v>
      </c>
      <c r="D471" s="286">
        <v>86</v>
      </c>
      <c r="E471" s="286"/>
      <c r="F471" s="327">
        <f t="shared" si="10"/>
        <v>86</v>
      </c>
    </row>
    <row r="472" spans="1:6" ht="10.5" customHeight="1">
      <c r="A472" s="280"/>
      <c r="B472" s="281"/>
      <c r="C472" s="153" t="s">
        <v>866</v>
      </c>
      <c r="D472" s="286">
        <v>86</v>
      </c>
      <c r="E472" s="286"/>
      <c r="F472" s="327">
        <f t="shared" si="10"/>
        <v>86</v>
      </c>
    </row>
    <row r="473" spans="1:6" ht="10.5" customHeight="1">
      <c r="A473" s="280"/>
      <c r="B473" s="281" t="s">
        <v>318</v>
      </c>
      <c r="C473" s="373" t="s">
        <v>377</v>
      </c>
      <c r="D473" s="286"/>
      <c r="E473" s="286"/>
      <c r="F473" s="327"/>
    </row>
    <row r="474" spans="1:6" ht="10.5" customHeight="1">
      <c r="A474" s="280"/>
      <c r="B474" s="281"/>
      <c r="C474" s="153" t="s">
        <v>864</v>
      </c>
      <c r="D474" s="286">
        <v>0</v>
      </c>
      <c r="E474" s="286"/>
      <c r="F474" s="327">
        <f t="shared" si="10"/>
        <v>0</v>
      </c>
    </row>
    <row r="475" spans="1:6" ht="10.5" customHeight="1">
      <c r="A475" s="280"/>
      <c r="B475" s="281"/>
      <c r="C475" s="153" t="s">
        <v>865</v>
      </c>
      <c r="D475" s="286">
        <v>22018</v>
      </c>
      <c r="E475" s="286"/>
      <c r="F475" s="327">
        <f t="shared" si="10"/>
        <v>22018</v>
      </c>
    </row>
    <row r="476" spans="1:6" ht="10.5" customHeight="1">
      <c r="A476" s="280"/>
      <c r="B476" s="281"/>
      <c r="C476" s="153" t="s">
        <v>866</v>
      </c>
      <c r="D476" s="286">
        <v>22018</v>
      </c>
      <c r="E476" s="286"/>
      <c r="F476" s="327">
        <f t="shared" si="10"/>
        <v>22018</v>
      </c>
    </row>
    <row r="477" spans="1:6" ht="10.5" customHeight="1">
      <c r="A477" s="280"/>
      <c r="B477" s="281" t="s">
        <v>319</v>
      </c>
      <c r="C477" s="373" t="s">
        <v>658</v>
      </c>
      <c r="D477" s="286"/>
      <c r="E477" s="286"/>
      <c r="F477" s="327"/>
    </row>
    <row r="478" spans="1:6" ht="10.5" customHeight="1">
      <c r="A478" s="280"/>
      <c r="B478" s="281"/>
      <c r="C478" s="153" t="s">
        <v>864</v>
      </c>
      <c r="D478" s="286">
        <v>0</v>
      </c>
      <c r="E478" s="286"/>
      <c r="F478" s="327">
        <f t="shared" si="10"/>
        <v>0</v>
      </c>
    </row>
    <row r="479" spans="1:6" ht="10.5" customHeight="1">
      <c r="A479" s="280"/>
      <c r="B479" s="281"/>
      <c r="C479" s="153" t="s">
        <v>865</v>
      </c>
      <c r="D479" s="286">
        <v>23880</v>
      </c>
      <c r="E479" s="286"/>
      <c r="F479" s="327">
        <f t="shared" si="10"/>
        <v>23880</v>
      </c>
    </row>
    <row r="480" spans="1:6" ht="10.5" customHeight="1">
      <c r="A480" s="280"/>
      <c r="B480" s="281"/>
      <c r="C480" s="153" t="s">
        <v>866</v>
      </c>
      <c r="D480" s="286">
        <v>23880</v>
      </c>
      <c r="E480" s="286"/>
      <c r="F480" s="327">
        <f t="shared" si="10"/>
        <v>23880</v>
      </c>
    </row>
    <row r="481" spans="1:6" ht="10.5" customHeight="1">
      <c r="A481" s="280"/>
      <c r="B481" s="281" t="s">
        <v>321</v>
      </c>
      <c r="C481" s="373" t="s">
        <v>657</v>
      </c>
      <c r="D481" s="286"/>
      <c r="E481" s="286"/>
      <c r="F481" s="327"/>
    </row>
    <row r="482" spans="1:6" ht="10.5" customHeight="1">
      <c r="A482" s="280"/>
      <c r="B482" s="281"/>
      <c r="C482" s="153" t="s">
        <v>864</v>
      </c>
      <c r="D482" s="286">
        <v>0</v>
      </c>
      <c r="E482" s="286"/>
      <c r="F482" s="327">
        <f t="shared" si="10"/>
        <v>0</v>
      </c>
    </row>
    <row r="483" spans="1:6" ht="10.5" customHeight="1">
      <c r="A483" s="280"/>
      <c r="B483" s="281"/>
      <c r="C483" s="153" t="s">
        <v>865</v>
      </c>
      <c r="D483" s="286">
        <v>12182</v>
      </c>
      <c r="E483" s="286"/>
      <c r="F483" s="327">
        <f t="shared" si="10"/>
        <v>12182</v>
      </c>
    </row>
    <row r="484" spans="1:6" ht="10.5" customHeight="1">
      <c r="A484" s="280"/>
      <c r="B484" s="281"/>
      <c r="C484" s="153" t="s">
        <v>866</v>
      </c>
      <c r="D484" s="286">
        <v>12182</v>
      </c>
      <c r="E484" s="286"/>
      <c r="F484" s="327">
        <f t="shared" si="10"/>
        <v>12182</v>
      </c>
    </row>
    <row r="485" spans="1:6" ht="10.5" customHeight="1">
      <c r="A485" s="280"/>
      <c r="B485" s="281" t="s">
        <v>322</v>
      </c>
      <c r="C485" s="373" t="s">
        <v>378</v>
      </c>
      <c r="D485" s="286"/>
      <c r="E485" s="286"/>
      <c r="F485" s="327"/>
    </row>
    <row r="486" spans="1:6" ht="10.5" customHeight="1">
      <c r="A486" s="280"/>
      <c r="B486" s="281"/>
      <c r="C486" s="153" t="s">
        <v>864</v>
      </c>
      <c r="D486" s="289">
        <v>0</v>
      </c>
      <c r="E486" s="289"/>
      <c r="F486" s="327">
        <f t="shared" si="10"/>
        <v>0</v>
      </c>
    </row>
    <row r="487" spans="1:6" ht="10.5" customHeight="1">
      <c r="A487" s="280"/>
      <c r="B487" s="281"/>
      <c r="C487" s="153" t="s">
        <v>865</v>
      </c>
      <c r="D487" s="286">
        <v>10534</v>
      </c>
      <c r="E487" s="286"/>
      <c r="F487" s="327">
        <f t="shared" si="10"/>
        <v>10534</v>
      </c>
    </row>
    <row r="488" spans="1:6" ht="10.5" customHeight="1">
      <c r="A488" s="280"/>
      <c r="B488" s="281"/>
      <c r="C488" s="153" t="s">
        <v>866</v>
      </c>
      <c r="D488" s="286">
        <v>10534</v>
      </c>
      <c r="E488" s="286"/>
      <c r="F488" s="327">
        <f t="shared" si="10"/>
        <v>10534</v>
      </c>
    </row>
    <row r="489" spans="1:6" ht="10.5" customHeight="1">
      <c r="A489" s="280"/>
      <c r="B489" s="281" t="s">
        <v>323</v>
      </c>
      <c r="C489" s="374" t="s">
        <v>833</v>
      </c>
      <c r="D489" s="286"/>
      <c r="E489" s="286"/>
      <c r="F489" s="327"/>
    </row>
    <row r="490" spans="1:6" ht="10.5" customHeight="1">
      <c r="A490" s="280"/>
      <c r="B490" s="281"/>
      <c r="C490" s="153" t="s">
        <v>864</v>
      </c>
      <c r="D490" s="286">
        <v>0</v>
      </c>
      <c r="E490" s="286"/>
      <c r="F490" s="327">
        <f t="shared" si="10"/>
        <v>0</v>
      </c>
    </row>
    <row r="491" spans="1:6" ht="10.5" customHeight="1">
      <c r="A491" s="280"/>
      <c r="B491" s="281"/>
      <c r="C491" s="153" t="s">
        <v>865</v>
      </c>
      <c r="D491" s="286">
        <v>18939</v>
      </c>
      <c r="E491" s="286"/>
      <c r="F491" s="327">
        <f t="shared" si="10"/>
        <v>18939</v>
      </c>
    </row>
    <row r="492" spans="1:6" ht="10.5" customHeight="1">
      <c r="A492" s="280"/>
      <c r="B492" s="281"/>
      <c r="C492" s="153" t="s">
        <v>866</v>
      </c>
      <c r="D492" s="286">
        <v>18939</v>
      </c>
      <c r="E492" s="286"/>
      <c r="F492" s="327">
        <f t="shared" si="10"/>
        <v>18939</v>
      </c>
    </row>
    <row r="493" spans="1:6" ht="13.5" customHeight="1">
      <c r="A493" s="280"/>
      <c r="B493" s="281" t="s">
        <v>324</v>
      </c>
      <c r="C493" s="756" t="s">
        <v>487</v>
      </c>
      <c r="D493" s="286"/>
      <c r="E493" s="286"/>
      <c r="F493" s="327"/>
    </row>
    <row r="494" spans="1:6" ht="10.5" customHeight="1">
      <c r="A494" s="280"/>
      <c r="B494" s="281"/>
      <c r="C494" s="153" t="s">
        <v>864</v>
      </c>
      <c r="D494" s="286">
        <v>0</v>
      </c>
      <c r="E494" s="286"/>
      <c r="F494" s="327">
        <v>0</v>
      </c>
    </row>
    <row r="495" spans="1:6" ht="10.5" customHeight="1">
      <c r="A495" s="280"/>
      <c r="B495" s="281"/>
      <c r="C495" s="153" t="s">
        <v>865</v>
      </c>
      <c r="D495" s="286">
        <v>300</v>
      </c>
      <c r="E495" s="286"/>
      <c r="F495" s="327">
        <f>D495</f>
        <v>300</v>
      </c>
    </row>
    <row r="496" spans="1:6" ht="10.5" customHeight="1">
      <c r="A496" s="280"/>
      <c r="B496" s="281"/>
      <c r="C496" s="153" t="s">
        <v>866</v>
      </c>
      <c r="D496" s="286">
        <v>300</v>
      </c>
      <c r="E496" s="286"/>
      <c r="F496" s="327">
        <f>D496</f>
        <v>300</v>
      </c>
    </row>
    <row r="497" spans="1:6" ht="10.5" customHeight="1">
      <c r="A497" s="280" t="s">
        <v>322</v>
      </c>
      <c r="B497" s="281"/>
      <c r="C497" s="288" t="s">
        <v>829</v>
      </c>
      <c r="D497" s="299"/>
      <c r="E497" s="286"/>
      <c r="F497" s="327"/>
    </row>
    <row r="498" spans="1:6" ht="10.5" customHeight="1">
      <c r="A498" s="280"/>
      <c r="B498" s="281"/>
      <c r="C498" s="153" t="s">
        <v>864</v>
      </c>
      <c r="D498" s="286">
        <v>0</v>
      </c>
      <c r="E498" s="286"/>
      <c r="F498" s="327">
        <f t="shared" si="10"/>
        <v>0</v>
      </c>
    </row>
    <row r="499" spans="1:6" ht="10.5" customHeight="1">
      <c r="A499" s="280"/>
      <c r="B499" s="281"/>
      <c r="C499" s="153" t="s">
        <v>865</v>
      </c>
      <c r="D499" s="286">
        <f>D503+D507</f>
        <v>16313</v>
      </c>
      <c r="E499" s="286"/>
      <c r="F499" s="327">
        <f t="shared" si="10"/>
        <v>16313</v>
      </c>
    </row>
    <row r="500" spans="1:6" ht="10.5" customHeight="1">
      <c r="A500" s="280"/>
      <c r="B500" s="281"/>
      <c r="C500" s="153" t="s">
        <v>866</v>
      </c>
      <c r="D500" s="286">
        <f>D504+D508</f>
        <v>16313</v>
      </c>
      <c r="E500" s="286"/>
      <c r="F500" s="327">
        <f t="shared" si="10"/>
        <v>16313</v>
      </c>
    </row>
    <row r="501" spans="1:6" ht="10.5" customHeight="1">
      <c r="A501" s="280"/>
      <c r="B501" s="281" t="s">
        <v>316</v>
      </c>
      <c r="C501" s="374" t="s">
        <v>830</v>
      </c>
      <c r="D501" s="286"/>
      <c r="E501" s="286"/>
      <c r="F501" s="327"/>
    </row>
    <row r="502" spans="1:6" ht="10.5" customHeight="1">
      <c r="A502" s="280"/>
      <c r="B502" s="281"/>
      <c r="C502" s="153" t="s">
        <v>864</v>
      </c>
      <c r="D502" s="286">
        <v>0</v>
      </c>
      <c r="E502" s="286"/>
      <c r="F502" s="327">
        <f t="shared" si="10"/>
        <v>0</v>
      </c>
    </row>
    <row r="503" spans="1:6" ht="10.5" customHeight="1">
      <c r="A503" s="280"/>
      <c r="B503" s="281"/>
      <c r="C503" s="153" t="s">
        <v>865</v>
      </c>
      <c r="D503" s="286">
        <v>13430</v>
      </c>
      <c r="E503" s="286"/>
      <c r="F503" s="327">
        <f t="shared" si="10"/>
        <v>13430</v>
      </c>
    </row>
    <row r="504" spans="1:6" ht="10.5" customHeight="1">
      <c r="A504" s="280"/>
      <c r="B504" s="281"/>
      <c r="C504" s="153" t="s">
        <v>866</v>
      </c>
      <c r="D504" s="347">
        <v>13430</v>
      </c>
      <c r="E504" s="347"/>
      <c r="F504" s="915">
        <f t="shared" si="10"/>
        <v>13430</v>
      </c>
    </row>
    <row r="505" spans="1:6" ht="26.25" customHeight="1">
      <c r="A505" s="280"/>
      <c r="B505" s="281" t="s">
        <v>318</v>
      </c>
      <c r="C505" s="916" t="s">
        <v>931</v>
      </c>
      <c r="D505" s="286"/>
      <c r="E505" s="286"/>
      <c r="F505" s="327"/>
    </row>
    <row r="506" spans="1:6" ht="10.5" customHeight="1">
      <c r="A506" s="280"/>
      <c r="B506" s="281"/>
      <c r="C506" s="153" t="s">
        <v>864</v>
      </c>
      <c r="D506" s="286">
        <v>0</v>
      </c>
      <c r="E506" s="286"/>
      <c r="F506" s="327">
        <v>0</v>
      </c>
    </row>
    <row r="507" spans="1:6" ht="10.5" customHeight="1">
      <c r="A507" s="280"/>
      <c r="B507" s="281"/>
      <c r="C507" s="153" t="s">
        <v>865</v>
      </c>
      <c r="D507" s="286">
        <v>2883</v>
      </c>
      <c r="E507" s="286"/>
      <c r="F507" s="327">
        <v>2883</v>
      </c>
    </row>
    <row r="508" spans="1:6" ht="10.5" customHeight="1">
      <c r="A508" s="280"/>
      <c r="B508" s="281"/>
      <c r="C508" s="153" t="s">
        <v>866</v>
      </c>
      <c r="D508" s="286">
        <v>2883</v>
      </c>
      <c r="E508" s="286"/>
      <c r="F508" s="327">
        <v>2883</v>
      </c>
    </row>
    <row r="509" spans="1:6" ht="13.5" customHeight="1">
      <c r="A509" s="280" t="s">
        <v>323</v>
      </c>
      <c r="B509" s="281"/>
      <c r="C509" s="877" t="s">
        <v>932</v>
      </c>
      <c r="D509" s="286"/>
      <c r="E509" s="286"/>
      <c r="F509" s="327"/>
    </row>
    <row r="510" spans="1:6" ht="10.5" customHeight="1">
      <c r="A510" s="280"/>
      <c r="B510" s="281"/>
      <c r="C510" s="153" t="s">
        <v>864</v>
      </c>
      <c r="D510" s="286">
        <v>0</v>
      </c>
      <c r="E510" s="286"/>
      <c r="F510" s="327">
        <v>0</v>
      </c>
    </row>
    <row r="511" spans="1:6" ht="10.5" customHeight="1">
      <c r="A511" s="280"/>
      <c r="B511" s="281"/>
      <c r="C511" s="153" t="s">
        <v>865</v>
      </c>
      <c r="D511" s="286">
        <v>20000</v>
      </c>
      <c r="E511" s="286"/>
      <c r="F511" s="327">
        <v>20000</v>
      </c>
    </row>
    <row r="512" spans="1:6" ht="10.5" customHeight="1" thickBot="1">
      <c r="A512" s="280"/>
      <c r="B512" s="281"/>
      <c r="C512" s="153" t="s">
        <v>866</v>
      </c>
      <c r="D512" s="289">
        <v>20000</v>
      </c>
      <c r="E512" s="289"/>
      <c r="F512" s="371">
        <v>20000</v>
      </c>
    </row>
    <row r="513" spans="1:6" ht="12" customHeight="1" thickTop="1">
      <c r="A513" s="126" t="s">
        <v>409</v>
      </c>
      <c r="B513" s="128"/>
      <c r="C513" s="320" t="s">
        <v>735</v>
      </c>
      <c r="D513" s="321"/>
      <c r="E513" s="321"/>
      <c r="F513" s="322"/>
    </row>
    <row r="514" spans="1:6" ht="12" customHeight="1">
      <c r="A514" s="323"/>
      <c r="B514" s="324"/>
      <c r="C514" s="177" t="s">
        <v>864</v>
      </c>
      <c r="D514" s="325">
        <f>D418+D422+D462+D466+D498</f>
        <v>223539</v>
      </c>
      <c r="E514" s="325">
        <f>E418+E422+E462+E466+E498</f>
        <v>0</v>
      </c>
      <c r="F514" s="326">
        <f>F418+F422+F462+F466+F498</f>
        <v>223539</v>
      </c>
    </row>
    <row r="515" spans="1:6" ht="12" customHeight="1">
      <c r="A515" s="296"/>
      <c r="B515" s="307"/>
      <c r="C515" s="153" t="s">
        <v>865</v>
      </c>
      <c r="D515" s="299">
        <f>D419+D423+D463+D467+D499+D511</f>
        <v>349432</v>
      </c>
      <c r="E515" s="299">
        <f>E419+E423+E463+E467+E499</f>
        <v>40339</v>
      </c>
      <c r="F515" s="327">
        <f>F419+F423+F463+F467+F499+F511</f>
        <v>389771</v>
      </c>
    </row>
    <row r="516" spans="1:6" ht="12" customHeight="1" thickBot="1">
      <c r="A516" s="300"/>
      <c r="B516" s="339"/>
      <c r="C516" s="201" t="s">
        <v>866</v>
      </c>
      <c r="D516" s="365">
        <f>D420+D424+D464+D468+D500+D512</f>
        <v>349432</v>
      </c>
      <c r="E516" s="365">
        <f>E420+E424+E464+E468+E500</f>
        <v>40339</v>
      </c>
      <c r="F516" s="331">
        <f>F420+F424+F464+F468+F500+F512</f>
        <v>389771</v>
      </c>
    </row>
    <row r="517" spans="1:6" ht="12" customHeight="1" thickBot="1" thickTop="1">
      <c r="A517" s="129"/>
      <c r="B517" s="837"/>
      <c r="C517" s="883"/>
      <c r="D517" s="884"/>
      <c r="E517" s="885"/>
      <c r="F517" s="882"/>
    </row>
    <row r="518" spans="1:6" ht="13.5" customHeight="1" thickBot="1" thickTop="1">
      <c r="A518" s="1867" t="s">
        <v>716</v>
      </c>
      <c r="B518" s="1868"/>
      <c r="C518" s="1869"/>
      <c r="D518" s="377"/>
      <c r="E518" s="377"/>
      <c r="F518" s="378"/>
    </row>
    <row r="519" spans="1:6" ht="13.5" customHeight="1" thickTop="1">
      <c r="A519" s="126"/>
      <c r="B519" s="127"/>
      <c r="C519" s="153" t="s">
        <v>864</v>
      </c>
      <c r="D519" s="379">
        <f aca="true" t="shared" si="11" ref="D519:F521">D104+D186+D324+D355+D382+D411+D514</f>
        <v>1539336</v>
      </c>
      <c r="E519" s="321">
        <f t="shared" si="11"/>
        <v>979992</v>
      </c>
      <c r="F519" s="337">
        <f t="shared" si="11"/>
        <v>2519328</v>
      </c>
    </row>
    <row r="520" spans="1:6" ht="13.5" customHeight="1">
      <c r="A520" s="296"/>
      <c r="B520" s="307"/>
      <c r="C520" s="153" t="s">
        <v>865</v>
      </c>
      <c r="D520" s="380">
        <f t="shared" si="11"/>
        <v>1700534</v>
      </c>
      <c r="E520" s="299">
        <f t="shared" si="11"/>
        <v>1082219</v>
      </c>
      <c r="F520" s="287">
        <f t="shared" si="11"/>
        <v>2782753</v>
      </c>
    </row>
    <row r="521" spans="1:6" ht="13.5" customHeight="1" thickBot="1">
      <c r="A521" s="296"/>
      <c r="B521" s="297"/>
      <c r="C521" s="153" t="s">
        <v>866</v>
      </c>
      <c r="D521" s="381">
        <f>D106+D188+D326+D357+D384+D413+D516</f>
        <v>1736022</v>
      </c>
      <c r="E521" s="365">
        <f t="shared" si="11"/>
        <v>736686</v>
      </c>
      <c r="F521" s="311">
        <f t="shared" si="11"/>
        <v>2472708</v>
      </c>
    </row>
    <row r="522" spans="1:6" ht="18" customHeight="1" thickTop="1">
      <c r="A522" s="382" t="s">
        <v>720</v>
      </c>
      <c r="B522" s="383"/>
      <c r="C522" s="1858" t="s">
        <v>719</v>
      </c>
      <c r="D522" s="1859"/>
      <c r="E522" s="1859"/>
      <c r="F522" s="1860"/>
    </row>
    <row r="523" spans="1:6" ht="7.5" customHeight="1">
      <c r="A523" s="296"/>
      <c r="B523" s="307"/>
      <c r="C523" s="375"/>
      <c r="D523" s="298"/>
      <c r="E523" s="298"/>
      <c r="F523" s="311"/>
    </row>
    <row r="524" spans="1:6" s="12" customFormat="1" ht="12" customHeight="1">
      <c r="A524" s="296" t="s">
        <v>410</v>
      </c>
      <c r="B524" s="307"/>
      <c r="C524" s="375" t="s">
        <v>592</v>
      </c>
      <c r="D524" s="309"/>
      <c r="E524" s="309"/>
      <c r="F524" s="363"/>
    </row>
    <row r="525" spans="1:6" s="12" customFormat="1" ht="5.25" customHeight="1">
      <c r="A525" s="296"/>
      <c r="B525" s="307"/>
      <c r="C525" s="375"/>
      <c r="D525" s="309"/>
      <c r="E525" s="309"/>
      <c r="F525" s="363"/>
    </row>
    <row r="526" spans="1:6" s="12" customFormat="1" ht="10.5" customHeight="1">
      <c r="A526" s="280" t="s">
        <v>316</v>
      </c>
      <c r="B526" s="281"/>
      <c r="C526" s="288" t="s">
        <v>817</v>
      </c>
      <c r="D526" s="286"/>
      <c r="E526" s="286"/>
      <c r="F526" s="327"/>
    </row>
    <row r="527" spans="1:6" s="12" customFormat="1" ht="10.5" customHeight="1">
      <c r="A527" s="280"/>
      <c r="B527" s="281"/>
      <c r="C527" s="153" t="s">
        <v>864</v>
      </c>
      <c r="D527" s="289">
        <v>0</v>
      </c>
      <c r="E527" s="289">
        <v>0</v>
      </c>
      <c r="F527" s="311">
        <v>0</v>
      </c>
    </row>
    <row r="528" spans="1:6" s="12" customFormat="1" ht="10.5" customHeight="1">
      <c r="A528" s="280"/>
      <c r="B528" s="281"/>
      <c r="C528" s="153" t="s">
        <v>865</v>
      </c>
      <c r="D528" s="286">
        <v>30290</v>
      </c>
      <c r="E528" s="286">
        <v>0</v>
      </c>
      <c r="F528" s="287">
        <f>D528</f>
        <v>30290</v>
      </c>
    </row>
    <row r="529" spans="1:6" s="12" customFormat="1" ht="10.5" customHeight="1" thickBot="1">
      <c r="A529" s="280"/>
      <c r="B529" s="281"/>
      <c r="C529" s="153" t="s">
        <v>866</v>
      </c>
      <c r="D529" s="289">
        <v>0</v>
      </c>
      <c r="E529" s="289">
        <v>0</v>
      </c>
      <c r="F529" s="311">
        <v>0</v>
      </c>
    </row>
    <row r="530" spans="1:6" s="12" customFormat="1" ht="12" customHeight="1" thickBot="1" thickTop="1">
      <c r="A530" s="129" t="s">
        <v>410</v>
      </c>
      <c r="B530" s="376"/>
      <c r="C530" s="384" t="s">
        <v>593</v>
      </c>
      <c r="D530" s="377"/>
      <c r="E530" s="377"/>
      <c r="F530" s="385"/>
    </row>
    <row r="531" spans="1:6" s="12" customFormat="1" ht="6.75" customHeight="1" thickTop="1">
      <c r="A531" s="296"/>
      <c r="B531" s="307"/>
      <c r="C531" s="308"/>
      <c r="D531" s="298"/>
      <c r="E531" s="366"/>
      <c r="F531" s="341"/>
    </row>
    <row r="532" spans="1:6" s="12" customFormat="1" ht="10.5" customHeight="1">
      <c r="A532" s="296" t="s">
        <v>584</v>
      </c>
      <c r="B532" s="307"/>
      <c r="C532" s="308" t="s">
        <v>591</v>
      </c>
      <c r="D532" s="298"/>
      <c r="E532" s="366"/>
      <c r="F532" s="341"/>
    </row>
    <row r="533" spans="1:6" s="12" customFormat="1" ht="6.75" customHeight="1">
      <c r="A533" s="296"/>
      <c r="B533" s="297"/>
      <c r="C533" s="386"/>
      <c r="D533" s="298"/>
      <c r="E533" s="366"/>
      <c r="F533" s="341"/>
    </row>
    <row r="534" spans="1:6" s="12" customFormat="1" ht="10.5" customHeight="1">
      <c r="A534" s="280" t="s">
        <v>316</v>
      </c>
      <c r="B534" s="266"/>
      <c r="C534" s="288" t="s">
        <v>796</v>
      </c>
      <c r="D534" s="286"/>
      <c r="E534" s="286"/>
      <c r="F534" s="287"/>
    </row>
    <row r="535" spans="1:6" s="12" customFormat="1" ht="10.5" customHeight="1">
      <c r="A535" s="280"/>
      <c r="B535" s="266"/>
      <c r="C535" s="153" t="s">
        <v>864</v>
      </c>
      <c r="D535" s="289">
        <v>0</v>
      </c>
      <c r="E535" s="289">
        <v>1113136</v>
      </c>
      <c r="F535" s="311">
        <f>D535+E535</f>
        <v>1113136</v>
      </c>
    </row>
    <row r="536" spans="1:6" s="12" customFormat="1" ht="10.5" customHeight="1">
      <c r="A536" s="280"/>
      <c r="B536" s="266"/>
      <c r="C536" s="153" t="s">
        <v>865</v>
      </c>
      <c r="D536" s="286">
        <v>18830</v>
      </c>
      <c r="E536" s="286">
        <f>141715</f>
        <v>141715</v>
      </c>
      <c r="F536" s="287">
        <f aca="true" t="shared" si="12" ref="F536:F541">D536+E536</f>
        <v>160545</v>
      </c>
    </row>
    <row r="537" spans="1:6" s="12" customFormat="1" ht="10.5" customHeight="1">
      <c r="A537" s="280"/>
      <c r="B537" s="266"/>
      <c r="C537" s="153" t="s">
        <v>866</v>
      </c>
      <c r="D537" s="286">
        <v>17048</v>
      </c>
      <c r="E537" s="286">
        <v>118466</v>
      </c>
      <c r="F537" s="287">
        <f t="shared" si="12"/>
        <v>135514</v>
      </c>
    </row>
    <row r="538" spans="1:6" s="12" customFormat="1" ht="10.5" customHeight="1">
      <c r="A538" s="280" t="s">
        <v>318</v>
      </c>
      <c r="B538" s="266"/>
      <c r="C538" s="387" t="s">
        <v>795</v>
      </c>
      <c r="D538" s="286"/>
      <c r="E538" s="286"/>
      <c r="F538" s="287"/>
    </row>
    <row r="539" spans="1:6" s="12" customFormat="1" ht="10.5" customHeight="1">
      <c r="A539" s="280"/>
      <c r="B539" s="266"/>
      <c r="C539" s="153" t="s">
        <v>864</v>
      </c>
      <c r="D539" s="286">
        <v>0</v>
      </c>
      <c r="E539" s="286">
        <v>0</v>
      </c>
      <c r="F539" s="287">
        <f t="shared" si="12"/>
        <v>0</v>
      </c>
    </row>
    <row r="540" spans="1:6" s="12" customFormat="1" ht="10.5" customHeight="1">
      <c r="A540" s="280"/>
      <c r="B540" s="266"/>
      <c r="C540" s="153" t="s">
        <v>865</v>
      </c>
      <c r="D540" s="286">
        <v>17185</v>
      </c>
      <c r="E540" s="286">
        <v>969754</v>
      </c>
      <c r="F540" s="287">
        <f t="shared" si="12"/>
        <v>986939</v>
      </c>
    </row>
    <row r="541" spans="1:6" s="12" customFormat="1" ht="10.5" customHeight="1">
      <c r="A541" s="280"/>
      <c r="B541" s="266"/>
      <c r="C541" s="153" t="s">
        <v>866</v>
      </c>
      <c r="D541" s="289">
        <v>0</v>
      </c>
      <c r="E541" s="289">
        <v>0</v>
      </c>
      <c r="F541" s="311">
        <f t="shared" si="12"/>
        <v>0</v>
      </c>
    </row>
    <row r="542" spans="1:6" s="12" customFormat="1" ht="10.5" customHeight="1">
      <c r="A542" s="280" t="s">
        <v>319</v>
      </c>
      <c r="B542" s="266"/>
      <c r="C542" s="551" t="s">
        <v>901</v>
      </c>
      <c r="D542" s="286"/>
      <c r="E542" s="286"/>
      <c r="F542" s="287"/>
    </row>
    <row r="543" spans="1:6" s="12" customFormat="1" ht="10.5" customHeight="1">
      <c r="A543" s="280"/>
      <c r="B543" s="266"/>
      <c r="C543" s="153" t="s">
        <v>864</v>
      </c>
      <c r="D543" s="286">
        <v>0</v>
      </c>
      <c r="E543" s="286"/>
      <c r="F543" s="287">
        <v>0</v>
      </c>
    </row>
    <row r="544" spans="1:6" s="12" customFormat="1" ht="10.5" customHeight="1">
      <c r="A544" s="280"/>
      <c r="B544" s="266"/>
      <c r="C544" s="153" t="s">
        <v>865</v>
      </c>
      <c r="D544" s="286">
        <v>38730</v>
      </c>
      <c r="E544" s="286"/>
      <c r="F544" s="287">
        <v>38730</v>
      </c>
    </row>
    <row r="545" spans="1:6" s="12" customFormat="1" ht="10.5" customHeight="1" thickBot="1">
      <c r="A545" s="280"/>
      <c r="B545" s="266"/>
      <c r="C545" s="153" t="s">
        <v>866</v>
      </c>
      <c r="D545" s="289">
        <v>33849</v>
      </c>
      <c r="E545" s="289"/>
      <c r="F545" s="311">
        <f>E545+D545</f>
        <v>33849</v>
      </c>
    </row>
    <row r="546" spans="1:6" s="12" customFormat="1" ht="10.5" customHeight="1" thickTop="1">
      <c r="A546" s="126" t="s">
        <v>584</v>
      </c>
      <c r="B546" s="127"/>
      <c r="C546" s="360" t="s">
        <v>594</v>
      </c>
      <c r="D546" s="321"/>
      <c r="E546" s="321"/>
      <c r="F546" s="337"/>
    </row>
    <row r="547" spans="1:6" s="12" customFormat="1" ht="10.5" customHeight="1">
      <c r="A547" s="323"/>
      <c r="B547" s="388"/>
      <c r="C547" s="177" t="s">
        <v>864</v>
      </c>
      <c r="D547" s="325">
        <f>D535+D539</f>
        <v>0</v>
      </c>
      <c r="E547" s="325">
        <f>E535+E539</f>
        <v>1113136</v>
      </c>
      <c r="F547" s="326">
        <f>F535+F539</f>
        <v>1113136</v>
      </c>
    </row>
    <row r="548" spans="1:6" s="12" customFormat="1" ht="10.5" customHeight="1">
      <c r="A548" s="296"/>
      <c r="B548" s="297"/>
      <c r="C548" s="153" t="s">
        <v>865</v>
      </c>
      <c r="D548" s="299">
        <f>D536+D540+D544</f>
        <v>74745</v>
      </c>
      <c r="E548" s="299">
        <f>E536+E540</f>
        <v>1111469</v>
      </c>
      <c r="F548" s="327">
        <f>F536+F540+F544</f>
        <v>1186214</v>
      </c>
    </row>
    <row r="549" spans="1:6" s="12" customFormat="1" ht="10.5" customHeight="1" thickBot="1">
      <c r="A549" s="300"/>
      <c r="B549" s="301"/>
      <c r="C549" s="201" t="s">
        <v>866</v>
      </c>
      <c r="D549" s="365">
        <f>D537+D541+D545</f>
        <v>50897</v>
      </c>
      <c r="E549" s="365">
        <f>E537+E541+E545</f>
        <v>118466</v>
      </c>
      <c r="F549" s="331">
        <f>F537+F541+F545</f>
        <v>169363</v>
      </c>
    </row>
    <row r="550" spans="1:6" s="12" customFormat="1" ht="12.75" customHeight="1" thickTop="1">
      <c r="A550" s="1864" t="s">
        <v>717</v>
      </c>
      <c r="B550" s="1865"/>
      <c r="C550" s="1866"/>
      <c r="D550" s="294"/>
      <c r="E550" s="294"/>
      <c r="F550" s="389"/>
    </row>
    <row r="551" spans="1:6" s="12" customFormat="1" ht="12.75" customHeight="1">
      <c r="A551" s="296"/>
      <c r="B551" s="297"/>
      <c r="C551" s="187" t="s">
        <v>864</v>
      </c>
      <c r="D551" s="298">
        <f>D56+D154+D324+D355+D382+D411+D514+D527+D535</f>
        <v>1437794</v>
      </c>
      <c r="E551" s="298">
        <f>E56+E154+E324+E355+E382+E411+E514+E527+E535</f>
        <v>2093128</v>
      </c>
      <c r="F551" s="311">
        <f>E551+D551</f>
        <v>3530922</v>
      </c>
    </row>
    <row r="552" spans="1:6" s="12" customFormat="1" ht="12.75" customHeight="1">
      <c r="A552" s="296"/>
      <c r="B552" s="297"/>
      <c r="C552" s="153" t="s">
        <v>865</v>
      </c>
      <c r="D552" s="299">
        <f>D57+D155+D159+D163+D167+D171+D175+D325+D356+D383+D412+D515+D528+D548</f>
        <v>1743254</v>
      </c>
      <c r="E552" s="299">
        <f>E57+E155+E159+E163+E167+E171+E175+E325+E356+E383+E412+E515+E528+E548</f>
        <v>2190988</v>
      </c>
      <c r="F552" s="327">
        <f>D552+E552</f>
        <v>3934242</v>
      </c>
    </row>
    <row r="553" spans="1:6" s="12" customFormat="1" ht="12.75" customHeight="1" thickBot="1">
      <c r="A553" s="300"/>
      <c r="B553" s="301"/>
      <c r="C553" s="201" t="s">
        <v>866</v>
      </c>
      <c r="D553" s="365">
        <f>D58+D156+D160+D164+D168+D176+D180+D184+D326+D357+D384+D413+D516+D529+D549</f>
        <v>1720429</v>
      </c>
      <c r="E553" s="302">
        <f>E172+E326+E357+E384+E413+E516+E529+E549</f>
        <v>855152</v>
      </c>
      <c r="F553" s="359">
        <f>D553+E553</f>
        <v>2575581</v>
      </c>
    </row>
    <row r="554" spans="1:6" s="12" customFormat="1" ht="12.75" customHeight="1" thickTop="1">
      <c r="A554" s="1879" t="s">
        <v>718</v>
      </c>
      <c r="B554" s="1880"/>
      <c r="C554" s="1881"/>
      <c r="D554" s="298"/>
      <c r="E554" s="298"/>
      <c r="F554" s="311"/>
    </row>
    <row r="555" spans="1:6" s="12" customFormat="1" ht="12.75" customHeight="1">
      <c r="A555" s="323"/>
      <c r="B555" s="388"/>
      <c r="C555" s="177" t="s">
        <v>864</v>
      </c>
      <c r="D555" s="325">
        <f>D36+D109</f>
        <v>101542</v>
      </c>
      <c r="E555" s="325">
        <f>E36+E109</f>
        <v>0</v>
      </c>
      <c r="F555" s="338">
        <f>E555+D555</f>
        <v>101542</v>
      </c>
    </row>
    <row r="556" spans="1:6" s="12" customFormat="1" ht="12.75" customHeight="1">
      <c r="A556" s="296"/>
      <c r="B556" s="307"/>
      <c r="C556" s="153" t="s">
        <v>865</v>
      </c>
      <c r="D556" s="299">
        <f>D37+D110</f>
        <v>62315</v>
      </c>
      <c r="E556" s="299">
        <f>E138</f>
        <v>2700</v>
      </c>
      <c r="F556" s="287">
        <f>E556+D556</f>
        <v>65015</v>
      </c>
    </row>
    <row r="557" spans="1:6" s="12" customFormat="1" ht="12.75" customHeight="1" thickBot="1">
      <c r="A557" s="296"/>
      <c r="B557" s="297"/>
      <c r="C557" s="290" t="s">
        <v>866</v>
      </c>
      <c r="D557" s="298">
        <f>D38+D111+'4.mell '!J39</f>
        <v>71255</v>
      </c>
      <c r="E557" s="298">
        <f>'4.mell '!K39</f>
        <v>1007</v>
      </c>
      <c r="F557" s="311">
        <f>E557+D557</f>
        <v>72262</v>
      </c>
    </row>
    <row r="558" spans="1:6" ht="12.75" customHeight="1" thickTop="1">
      <c r="A558" s="1864" t="s">
        <v>671</v>
      </c>
      <c r="B558" s="1865"/>
      <c r="C558" s="1866"/>
      <c r="D558" s="294"/>
      <c r="E558" s="294"/>
      <c r="F558" s="295"/>
    </row>
    <row r="559" spans="1:6" ht="12.75" customHeight="1">
      <c r="A559" s="296"/>
      <c r="B559" s="297"/>
      <c r="C559" s="187" t="s">
        <v>864</v>
      </c>
      <c r="D559" s="381">
        <f>D551+D555+D27</f>
        <v>1594834</v>
      </c>
      <c r="E559" s="298">
        <f>E551+E555+E27</f>
        <v>2093525</v>
      </c>
      <c r="F559" s="311">
        <f>E559+D559</f>
        <v>3688359</v>
      </c>
    </row>
    <row r="560" spans="1:6" ht="12.75" customHeight="1">
      <c r="A560" s="296"/>
      <c r="B560" s="307"/>
      <c r="C560" s="153" t="s">
        <v>865</v>
      </c>
      <c r="D560" s="380">
        <f>D552+D556+D28</f>
        <v>1861203</v>
      </c>
      <c r="E560" s="299">
        <f>E552+E28+E556</f>
        <v>2194085</v>
      </c>
      <c r="F560" s="287">
        <f>E560+D560</f>
        <v>4055288</v>
      </c>
    </row>
    <row r="561" spans="1:6" ht="12.75" customHeight="1" thickBot="1">
      <c r="A561" s="300"/>
      <c r="B561" s="301"/>
      <c r="C561" s="201" t="s">
        <v>866</v>
      </c>
      <c r="D561" s="390">
        <f>D553+D557+D29</f>
        <v>1849218</v>
      </c>
      <c r="E561" s="365">
        <f>E553+E557+E29</f>
        <v>856556</v>
      </c>
      <c r="F561" s="355">
        <f>E561+D561</f>
        <v>2705774</v>
      </c>
    </row>
    <row r="562" spans="1:6" ht="15" customHeight="1" thickBot="1" thickTop="1">
      <c r="A562" s="1876" t="s">
        <v>418</v>
      </c>
      <c r="B562" s="1877"/>
      <c r="C562" s="1877"/>
      <c r="D562" s="1877"/>
      <c r="E562" s="1877"/>
      <c r="F562" s="1878"/>
    </row>
    <row r="563" spans="1:6" ht="3.75" customHeight="1">
      <c r="A563" s="296"/>
      <c r="B563" s="297"/>
      <c r="C563" s="276"/>
      <c r="D563" s="391"/>
      <c r="E563" s="392"/>
      <c r="F563" s="284"/>
    </row>
    <row r="564" spans="1:6" ht="12" customHeight="1">
      <c r="A564" s="296" t="s">
        <v>340</v>
      </c>
      <c r="B564" s="307"/>
      <c r="C564" s="308" t="s">
        <v>640</v>
      </c>
      <c r="D564" s="309"/>
      <c r="E564" s="393"/>
      <c r="F564" s="284"/>
    </row>
    <row r="565" spans="1:6" ht="5.25" customHeight="1">
      <c r="A565" s="280"/>
      <c r="B565" s="281"/>
      <c r="C565" s="335"/>
      <c r="D565" s="342"/>
      <c r="E565" s="394"/>
      <c r="F565" s="284"/>
    </row>
    <row r="566" spans="1:6" ht="12" customHeight="1">
      <c r="A566" s="280" t="s">
        <v>316</v>
      </c>
      <c r="B566" s="281"/>
      <c r="C566" s="288" t="s">
        <v>330</v>
      </c>
      <c r="D566" s="286"/>
      <c r="E566" s="395"/>
      <c r="F566" s="327"/>
    </row>
    <row r="567" spans="1:6" ht="12" customHeight="1">
      <c r="A567" s="280"/>
      <c r="B567" s="281"/>
      <c r="C567" s="153" t="s">
        <v>864</v>
      </c>
      <c r="D567" s="286">
        <f>'5.mell'!E630</f>
        <v>449887</v>
      </c>
      <c r="E567" s="395"/>
      <c r="F567" s="287">
        <f>D567</f>
        <v>449887</v>
      </c>
    </row>
    <row r="568" spans="1:6" ht="12" customHeight="1">
      <c r="A568" s="280"/>
      <c r="B568" s="281"/>
      <c r="C568" s="153" t="s">
        <v>865</v>
      </c>
      <c r="D568" s="286">
        <f>'5.mell'!E631</f>
        <v>455784</v>
      </c>
      <c r="E568" s="395"/>
      <c r="F568" s="287">
        <f aca="true" t="shared" si="13" ref="F568:F593">D568</f>
        <v>455784</v>
      </c>
    </row>
    <row r="569" spans="1:6" ht="12" customHeight="1">
      <c r="A569" s="280"/>
      <c r="B569" s="281"/>
      <c r="C569" s="153" t="s">
        <v>866</v>
      </c>
      <c r="D569" s="286">
        <f>'5.mell'!E632</f>
        <v>421197</v>
      </c>
      <c r="E569" s="395"/>
      <c r="F569" s="287">
        <f t="shared" si="13"/>
        <v>421197</v>
      </c>
    </row>
    <row r="570" spans="1:6" ht="12" customHeight="1">
      <c r="A570" s="280" t="s">
        <v>318</v>
      </c>
      <c r="B570" s="281"/>
      <c r="C570" s="288" t="s">
        <v>636</v>
      </c>
      <c r="D570" s="286"/>
      <c r="E570" s="395"/>
      <c r="F570" s="287"/>
    </row>
    <row r="571" spans="1:6" ht="12" customHeight="1">
      <c r="A571" s="280"/>
      <c r="B571" s="281"/>
      <c r="C571" s="153" t="s">
        <v>864</v>
      </c>
      <c r="D571" s="286">
        <f>'5.mell'!F630</f>
        <v>108597</v>
      </c>
      <c r="E571" s="395"/>
      <c r="F571" s="287">
        <f t="shared" si="13"/>
        <v>108597</v>
      </c>
    </row>
    <row r="572" spans="1:6" ht="12" customHeight="1">
      <c r="A572" s="280"/>
      <c r="B572" s="281"/>
      <c r="C572" s="153" t="s">
        <v>865</v>
      </c>
      <c r="D572" s="286">
        <f>'5.mell'!F631</f>
        <v>111897</v>
      </c>
      <c r="E572" s="395"/>
      <c r="F572" s="287">
        <f t="shared" si="13"/>
        <v>111897</v>
      </c>
    </row>
    <row r="573" spans="1:6" ht="12" customHeight="1">
      <c r="A573" s="280"/>
      <c r="B573" s="281"/>
      <c r="C573" s="153" t="s">
        <v>866</v>
      </c>
      <c r="D573" s="286">
        <f>'5.mell'!F632</f>
        <v>103246</v>
      </c>
      <c r="E573" s="395"/>
      <c r="F573" s="287">
        <f t="shared" si="13"/>
        <v>103246</v>
      </c>
    </row>
    <row r="574" spans="1:8" s="12" customFormat="1" ht="12" customHeight="1">
      <c r="A574" s="280" t="s">
        <v>319</v>
      </c>
      <c r="B574" s="281"/>
      <c r="C574" s="288" t="s">
        <v>331</v>
      </c>
      <c r="D574" s="286"/>
      <c r="E574" s="395"/>
      <c r="F574" s="287"/>
      <c r="H574" s="10"/>
    </row>
    <row r="575" spans="1:8" s="12" customFormat="1" ht="12" customHeight="1">
      <c r="A575" s="280"/>
      <c r="B575" s="281"/>
      <c r="C575" s="153" t="s">
        <v>864</v>
      </c>
      <c r="D575" s="286">
        <f>'5.mell'!G630</f>
        <v>443431</v>
      </c>
      <c r="E575" s="395"/>
      <c r="F575" s="287">
        <f t="shared" si="13"/>
        <v>443431</v>
      </c>
      <c r="H575" s="10"/>
    </row>
    <row r="576" spans="1:8" s="12" customFormat="1" ht="12" customHeight="1">
      <c r="A576" s="280"/>
      <c r="B576" s="281"/>
      <c r="C576" s="153" t="s">
        <v>865</v>
      </c>
      <c r="D576" s="286">
        <f>'5.mell'!G631-'5.mell'!G619</f>
        <v>604531</v>
      </c>
      <c r="E576" s="395"/>
      <c r="F576" s="287">
        <f t="shared" si="13"/>
        <v>604531</v>
      </c>
      <c r="H576" s="10"/>
    </row>
    <row r="577" spans="1:8" s="12" customFormat="1" ht="12" customHeight="1">
      <c r="A577" s="280"/>
      <c r="B577" s="281"/>
      <c r="C577" s="153" t="s">
        <v>866</v>
      </c>
      <c r="D577" s="286">
        <f>'5.mell'!G632-'5.mell'!G620</f>
        <v>502851</v>
      </c>
      <c r="E577" s="395"/>
      <c r="F577" s="287">
        <f t="shared" si="13"/>
        <v>502851</v>
      </c>
      <c r="H577" s="10"/>
    </row>
    <row r="578" spans="1:6" ht="12" customHeight="1">
      <c r="A578" s="280" t="s">
        <v>321</v>
      </c>
      <c r="B578" s="281"/>
      <c r="C578" s="288" t="s">
        <v>551</v>
      </c>
      <c r="D578" s="286"/>
      <c r="E578" s="395"/>
      <c r="F578" s="287"/>
    </row>
    <row r="579" spans="1:6" ht="12" customHeight="1">
      <c r="A579" s="280"/>
      <c r="B579" s="281"/>
      <c r="C579" s="153" t="s">
        <v>864</v>
      </c>
      <c r="D579" s="286">
        <v>0</v>
      </c>
      <c r="E579" s="395"/>
      <c r="F579" s="287">
        <f t="shared" si="13"/>
        <v>0</v>
      </c>
    </row>
    <row r="580" spans="1:6" ht="12" customHeight="1">
      <c r="A580" s="280"/>
      <c r="B580" s="281"/>
      <c r="C580" s="153" t="s">
        <v>865</v>
      </c>
      <c r="D580" s="286">
        <v>0</v>
      </c>
      <c r="E580" s="395"/>
      <c r="F580" s="287">
        <f t="shared" si="13"/>
        <v>0</v>
      </c>
    </row>
    <row r="581" spans="1:6" ht="12" customHeight="1">
      <c r="A581" s="280"/>
      <c r="B581" s="281"/>
      <c r="C581" s="153" t="s">
        <v>866</v>
      </c>
      <c r="D581" s="286">
        <v>0</v>
      </c>
      <c r="E581" s="395"/>
      <c r="F581" s="287">
        <f t="shared" si="13"/>
        <v>0</v>
      </c>
    </row>
    <row r="582" spans="1:8" s="12" customFormat="1" ht="13.5" customHeight="1">
      <c r="A582" s="280" t="s">
        <v>322</v>
      </c>
      <c r="B582" s="281"/>
      <c r="C582" s="211" t="s">
        <v>548</v>
      </c>
      <c r="D582" s="286"/>
      <c r="E582" s="395"/>
      <c r="F582" s="287"/>
      <c r="H582" s="10"/>
    </row>
    <row r="583" spans="1:8" s="12" customFormat="1" ht="13.5" customHeight="1">
      <c r="A583" s="280"/>
      <c r="B583" s="281"/>
      <c r="C583" s="153" t="s">
        <v>864</v>
      </c>
      <c r="D583" s="286">
        <f>D587+D591</f>
        <v>576829</v>
      </c>
      <c r="E583" s="395"/>
      <c r="F583" s="287">
        <f t="shared" si="13"/>
        <v>576829</v>
      </c>
      <c r="H583" s="10"/>
    </row>
    <row r="584" spans="1:8" s="12" customFormat="1" ht="13.5" customHeight="1">
      <c r="A584" s="280"/>
      <c r="B584" s="281"/>
      <c r="C584" s="153" t="s">
        <v>865</v>
      </c>
      <c r="D584" s="286">
        <f>D588+D592</f>
        <v>607075</v>
      </c>
      <c r="E584" s="395"/>
      <c r="F584" s="287">
        <f t="shared" si="13"/>
        <v>607075</v>
      </c>
      <c r="H584" s="10"/>
    </row>
    <row r="585" spans="1:8" s="12" customFormat="1" ht="13.5" customHeight="1">
      <c r="A585" s="280"/>
      <c r="B585" s="281"/>
      <c r="C585" s="153" t="s">
        <v>866</v>
      </c>
      <c r="D585" s="286">
        <f>D589+D593</f>
        <v>574743</v>
      </c>
      <c r="E585" s="395"/>
      <c r="F585" s="287">
        <f t="shared" si="13"/>
        <v>574743</v>
      </c>
      <c r="H585" s="10"/>
    </row>
    <row r="586" spans="1:8" s="11" customFormat="1" ht="12.75" customHeight="1">
      <c r="A586" s="314"/>
      <c r="B586" s="315"/>
      <c r="C586" s="212" t="s">
        <v>637</v>
      </c>
      <c r="D586" s="317"/>
      <c r="E586" s="396"/>
      <c r="F586" s="318"/>
      <c r="H586" s="60"/>
    </row>
    <row r="587" spans="1:8" s="11" customFormat="1" ht="12.75" customHeight="1">
      <c r="A587" s="314"/>
      <c r="B587" s="315"/>
      <c r="C587" s="160" t="s">
        <v>864</v>
      </c>
      <c r="D587" s="317">
        <f>'5.mell'!I630</f>
        <v>197147</v>
      </c>
      <c r="E587" s="396"/>
      <c r="F587" s="318">
        <f t="shared" si="13"/>
        <v>197147</v>
      </c>
      <c r="H587" s="60"/>
    </row>
    <row r="588" spans="1:8" s="11" customFormat="1" ht="12.75" customHeight="1">
      <c r="A588" s="314"/>
      <c r="B588" s="315"/>
      <c r="C588" s="160" t="s">
        <v>865</v>
      </c>
      <c r="D588" s="317">
        <f>'5.mell'!I631-180</f>
        <v>200049</v>
      </c>
      <c r="E588" s="396"/>
      <c r="F588" s="318">
        <f t="shared" si="13"/>
        <v>200049</v>
      </c>
      <c r="H588" s="60"/>
    </row>
    <row r="589" spans="1:8" s="11" customFormat="1" ht="12.75" customHeight="1">
      <c r="A589" s="314"/>
      <c r="B589" s="315"/>
      <c r="C589" s="160" t="s">
        <v>866</v>
      </c>
      <c r="D589" s="317">
        <f>'5.mell'!I632-D669</f>
        <v>134635</v>
      </c>
      <c r="E589" s="396"/>
      <c r="F589" s="318">
        <f t="shared" si="13"/>
        <v>134635</v>
      </c>
      <c r="H589" s="60"/>
    </row>
    <row r="590" spans="1:6" s="60" customFormat="1" ht="12" customHeight="1">
      <c r="A590" s="314" t="s">
        <v>446</v>
      </c>
      <c r="B590" s="315"/>
      <c r="C590" s="218" t="s">
        <v>711</v>
      </c>
      <c r="D590" s="317"/>
      <c r="E590" s="396"/>
      <c r="F590" s="318"/>
    </row>
    <row r="591" spans="1:6" s="60" customFormat="1" ht="12" customHeight="1">
      <c r="A591" s="314"/>
      <c r="B591" s="397"/>
      <c r="C591" s="160" t="s">
        <v>864</v>
      </c>
      <c r="D591" s="398">
        <f>'5.mell'!J630</f>
        <v>379682</v>
      </c>
      <c r="E591" s="399"/>
      <c r="F591" s="318">
        <f t="shared" si="13"/>
        <v>379682</v>
      </c>
    </row>
    <row r="592" spans="1:6" s="60" customFormat="1" ht="12" customHeight="1">
      <c r="A592" s="314"/>
      <c r="B592" s="397"/>
      <c r="C592" s="160" t="s">
        <v>865</v>
      </c>
      <c r="D592" s="317">
        <f>'5.mell'!J631-'5.mell'!J623</f>
        <v>407026</v>
      </c>
      <c r="E592" s="396"/>
      <c r="F592" s="318">
        <f t="shared" si="13"/>
        <v>407026</v>
      </c>
    </row>
    <row r="593" spans="1:6" s="60" customFormat="1" ht="12" customHeight="1" thickBot="1">
      <c r="A593" s="314"/>
      <c r="B593" s="397"/>
      <c r="C593" s="160" t="s">
        <v>866</v>
      </c>
      <c r="D593" s="398">
        <f>'5.mell'!J632</f>
        <v>440108</v>
      </c>
      <c r="E593" s="399"/>
      <c r="F593" s="318">
        <f t="shared" si="13"/>
        <v>440108</v>
      </c>
    </row>
    <row r="594" spans="1:6" ht="12" customHeight="1" thickTop="1">
      <c r="A594" s="1852" t="s">
        <v>648</v>
      </c>
      <c r="B594" s="1853"/>
      <c r="C594" s="1854"/>
      <c r="D594" s="321"/>
      <c r="E594" s="400"/>
      <c r="F594" s="337"/>
    </row>
    <row r="595" spans="1:6" ht="12" customHeight="1">
      <c r="A595" s="401"/>
      <c r="B595" s="402"/>
      <c r="C595" s="177" t="s">
        <v>864</v>
      </c>
      <c r="D595" s="325">
        <f>D567+D571+D575+D579+D583</f>
        <v>1578744</v>
      </c>
      <c r="E595" s="403"/>
      <c r="F595" s="338">
        <f>D595</f>
        <v>1578744</v>
      </c>
    </row>
    <row r="596" spans="1:6" ht="12" customHeight="1">
      <c r="A596" s="404"/>
      <c r="B596" s="405"/>
      <c r="C596" s="153" t="s">
        <v>865</v>
      </c>
      <c r="D596" s="299">
        <f>D568+D572+D576+D580+D584</f>
        <v>1779287</v>
      </c>
      <c r="E596" s="406"/>
      <c r="F596" s="287">
        <f>D596</f>
        <v>1779287</v>
      </c>
    </row>
    <row r="597" spans="1:6" ht="12" customHeight="1" thickBot="1">
      <c r="A597" s="407"/>
      <c r="B597" s="408"/>
      <c r="C597" s="201" t="s">
        <v>866</v>
      </c>
      <c r="D597" s="365">
        <f>D569+D573+D577+D581+D585</f>
        <v>1602037</v>
      </c>
      <c r="E597" s="409"/>
      <c r="F597" s="355">
        <f>D597</f>
        <v>1602037</v>
      </c>
    </row>
    <row r="598" spans="1:6" ht="5.25" customHeight="1" thickTop="1">
      <c r="A598" s="280"/>
      <c r="B598" s="281"/>
      <c r="C598" s="335"/>
      <c r="D598" s="410"/>
      <c r="E598" s="289"/>
      <c r="F598" s="311"/>
    </row>
    <row r="599" spans="1:6" ht="12" customHeight="1">
      <c r="A599" s="296" t="s">
        <v>341</v>
      </c>
      <c r="B599" s="307"/>
      <c r="C599" s="308" t="s">
        <v>642</v>
      </c>
      <c r="D599" s="411"/>
      <c r="E599" s="298"/>
      <c r="F599" s="311"/>
    </row>
    <row r="600" spans="1:6" ht="6" customHeight="1">
      <c r="A600" s="280"/>
      <c r="B600" s="281"/>
      <c r="C600" s="335"/>
      <c r="D600" s="410"/>
      <c r="E600" s="289"/>
      <c r="F600" s="311"/>
    </row>
    <row r="601" spans="1:6" s="12" customFormat="1" ht="11.25" customHeight="1">
      <c r="A601" s="280" t="s">
        <v>316</v>
      </c>
      <c r="B601" s="281"/>
      <c r="C601" s="288" t="s">
        <v>760</v>
      </c>
      <c r="D601" s="395"/>
      <c r="E601" s="286"/>
      <c r="F601" s="327"/>
    </row>
    <row r="602" spans="1:6" s="12" customFormat="1" ht="11.25" customHeight="1">
      <c r="A602" s="280"/>
      <c r="B602" s="281"/>
      <c r="C602" s="153" t="s">
        <v>864</v>
      </c>
      <c r="D602" s="412"/>
      <c r="E602" s="345">
        <f>'6.mell'!D11</f>
        <v>1441485</v>
      </c>
      <c r="F602" s="368">
        <f>E602</f>
        <v>1441485</v>
      </c>
    </row>
    <row r="603" spans="1:6" s="12" customFormat="1" ht="11.25" customHeight="1">
      <c r="A603" s="280"/>
      <c r="B603" s="281"/>
      <c r="C603" s="153" t="s">
        <v>865</v>
      </c>
      <c r="D603" s="412"/>
      <c r="E603" s="345">
        <f>'6.mell'!E11</f>
        <v>1030887</v>
      </c>
      <c r="F603" s="368">
        <f aca="true" t="shared" si="14" ref="F603:F624">E603</f>
        <v>1030887</v>
      </c>
    </row>
    <row r="604" spans="1:6" s="12" customFormat="1" ht="11.25" customHeight="1">
      <c r="A604" s="280"/>
      <c r="B604" s="281"/>
      <c r="C604" s="153" t="s">
        <v>866</v>
      </c>
      <c r="D604" s="412"/>
      <c r="E604" s="345">
        <f>'6.mell'!F11</f>
        <v>225514</v>
      </c>
      <c r="F604" s="368">
        <f t="shared" si="14"/>
        <v>225514</v>
      </c>
    </row>
    <row r="605" spans="1:6" s="11" customFormat="1" ht="12" customHeight="1">
      <c r="A605" s="314"/>
      <c r="B605" s="315"/>
      <c r="C605" s="413" t="s">
        <v>282</v>
      </c>
      <c r="D605" s="414"/>
      <c r="E605" s="415"/>
      <c r="F605" s="416"/>
    </row>
    <row r="606" spans="1:6" s="11" customFormat="1" ht="12" customHeight="1">
      <c r="A606" s="314"/>
      <c r="B606" s="315"/>
      <c r="C606" s="160" t="s">
        <v>864</v>
      </c>
      <c r="D606" s="414"/>
      <c r="E606" s="415">
        <f>'6.mell'!D37</f>
        <v>906662</v>
      </c>
      <c r="F606" s="416">
        <f t="shared" si="14"/>
        <v>906662</v>
      </c>
    </row>
    <row r="607" spans="1:6" s="11" customFormat="1" ht="12" customHeight="1">
      <c r="A607" s="314"/>
      <c r="B607" s="315"/>
      <c r="C607" s="160" t="s">
        <v>865</v>
      </c>
      <c r="D607" s="414"/>
      <c r="E607" s="415">
        <f>'6.mell'!E37</f>
        <v>595536</v>
      </c>
      <c r="F607" s="416">
        <f t="shared" si="14"/>
        <v>595536</v>
      </c>
    </row>
    <row r="608" spans="1:6" s="11" customFormat="1" ht="12" customHeight="1">
      <c r="A608" s="314"/>
      <c r="B608" s="315"/>
      <c r="C608" s="160" t="s">
        <v>866</v>
      </c>
      <c r="D608" s="414"/>
      <c r="E608" s="415">
        <f>'6.mell'!F37</f>
        <v>176538</v>
      </c>
      <c r="F608" s="416">
        <f t="shared" si="14"/>
        <v>176538</v>
      </c>
    </row>
    <row r="609" spans="1:8" ht="12" customHeight="1">
      <c r="A609" s="280" t="s">
        <v>318</v>
      </c>
      <c r="B609" s="281"/>
      <c r="C609" s="346" t="s">
        <v>762</v>
      </c>
      <c r="D609" s="412"/>
      <c r="E609" s="345"/>
      <c r="F609" s="368"/>
      <c r="H609" s="12"/>
    </row>
    <row r="610" spans="1:8" ht="12" customHeight="1">
      <c r="A610" s="280"/>
      <c r="B610" s="281"/>
      <c r="C610" s="153" t="s">
        <v>864</v>
      </c>
      <c r="D610" s="412"/>
      <c r="E610" s="345">
        <f>'6.mell'!D51</f>
        <v>0</v>
      </c>
      <c r="F610" s="368">
        <f t="shared" si="14"/>
        <v>0</v>
      </c>
      <c r="H610" s="12"/>
    </row>
    <row r="611" spans="1:8" ht="12" customHeight="1">
      <c r="A611" s="280"/>
      <c r="B611" s="281"/>
      <c r="C611" s="153" t="s">
        <v>865</v>
      </c>
      <c r="D611" s="412"/>
      <c r="E611" s="345">
        <f>'6.mell'!E51</f>
        <v>595</v>
      </c>
      <c r="F611" s="368">
        <f t="shared" si="14"/>
        <v>595</v>
      </c>
      <c r="H611" s="12"/>
    </row>
    <row r="612" spans="1:8" ht="12" customHeight="1">
      <c r="A612" s="280"/>
      <c r="B612" s="281"/>
      <c r="C612" s="153" t="s">
        <v>866</v>
      </c>
      <c r="D612" s="412"/>
      <c r="E612" s="345">
        <f>'6.mell'!F51</f>
        <v>877</v>
      </c>
      <c r="F612" s="368">
        <f t="shared" si="14"/>
        <v>877</v>
      </c>
      <c r="H612" s="12"/>
    </row>
    <row r="613" spans="1:6" s="12" customFormat="1" ht="12" customHeight="1">
      <c r="A613" s="280" t="s">
        <v>319</v>
      </c>
      <c r="B613" s="281"/>
      <c r="C613" s="288" t="s">
        <v>763</v>
      </c>
      <c r="D613" s="395"/>
      <c r="E613" s="286"/>
      <c r="F613" s="368"/>
    </row>
    <row r="614" spans="1:6" s="12" customFormat="1" ht="12" customHeight="1">
      <c r="A614" s="280"/>
      <c r="B614" s="281"/>
      <c r="C614" s="153" t="s">
        <v>864</v>
      </c>
      <c r="D614" s="410"/>
      <c r="E614" s="289">
        <f>'6.mell'!D58</f>
        <v>316807</v>
      </c>
      <c r="F614" s="368">
        <f t="shared" si="14"/>
        <v>316807</v>
      </c>
    </row>
    <row r="615" spans="1:6" s="12" customFormat="1" ht="12" customHeight="1">
      <c r="A615" s="280"/>
      <c r="B615" s="281"/>
      <c r="C615" s="153" t="s">
        <v>865</v>
      </c>
      <c r="D615" s="395"/>
      <c r="E615" s="286">
        <f>'6.mell'!E58</f>
        <v>816157</v>
      </c>
      <c r="F615" s="368">
        <f t="shared" si="14"/>
        <v>816157</v>
      </c>
    </row>
    <row r="616" spans="1:6" s="12" customFormat="1" ht="12" customHeight="1">
      <c r="A616" s="280"/>
      <c r="B616" s="281"/>
      <c r="C616" s="153" t="s">
        <v>866</v>
      </c>
      <c r="D616" s="395"/>
      <c r="E616" s="286">
        <f>'6.mell'!F58</f>
        <v>660374</v>
      </c>
      <c r="F616" s="368">
        <f t="shared" si="14"/>
        <v>660374</v>
      </c>
    </row>
    <row r="617" spans="1:6" s="11" customFormat="1" ht="12" customHeight="1">
      <c r="A617" s="314"/>
      <c r="B617" s="315"/>
      <c r="C617" s="413" t="s">
        <v>282</v>
      </c>
      <c r="D617" s="396"/>
      <c r="E617" s="317"/>
      <c r="F617" s="416"/>
    </row>
    <row r="618" spans="1:6" s="11" customFormat="1" ht="12" customHeight="1">
      <c r="A618" s="314"/>
      <c r="B618" s="315"/>
      <c r="C618" s="160" t="s">
        <v>864</v>
      </c>
      <c r="D618" s="396"/>
      <c r="E618" s="317">
        <f>'6.mell'!D65</f>
        <v>247973</v>
      </c>
      <c r="F618" s="416">
        <f t="shared" si="14"/>
        <v>247973</v>
      </c>
    </row>
    <row r="619" spans="1:6" s="11" customFormat="1" ht="12" customHeight="1">
      <c r="A619" s="314"/>
      <c r="B619" s="315"/>
      <c r="C619" s="160" t="s">
        <v>865</v>
      </c>
      <c r="D619" s="396"/>
      <c r="E619" s="317">
        <f>'6.mell'!E65</f>
        <v>746406</v>
      </c>
      <c r="F619" s="416">
        <f t="shared" si="14"/>
        <v>746406</v>
      </c>
    </row>
    <row r="620" spans="1:6" s="11" customFormat="1" ht="12" customHeight="1">
      <c r="A620" s="314"/>
      <c r="B620" s="315"/>
      <c r="C620" s="160" t="s">
        <v>866</v>
      </c>
      <c r="D620" s="399"/>
      <c r="E620" s="398">
        <f>'6.mell'!F65</f>
        <v>640389</v>
      </c>
      <c r="F620" s="416">
        <f t="shared" si="14"/>
        <v>640389</v>
      </c>
    </row>
    <row r="621" spans="1:6" s="12" customFormat="1" ht="12" customHeight="1">
      <c r="A621" s="280" t="s">
        <v>321</v>
      </c>
      <c r="B621" s="281"/>
      <c r="C621" s="303" t="s">
        <v>764</v>
      </c>
      <c r="D621" s="417"/>
      <c r="E621" s="347"/>
      <c r="F621" s="368"/>
    </row>
    <row r="622" spans="1:6" s="12" customFormat="1" ht="12" customHeight="1">
      <c r="A622" s="280"/>
      <c r="B622" s="266"/>
      <c r="C622" s="153" t="s">
        <v>864</v>
      </c>
      <c r="D622" s="395"/>
      <c r="E622" s="286">
        <f>'6.mell'!D76</f>
        <v>397</v>
      </c>
      <c r="F622" s="368">
        <f t="shared" si="14"/>
        <v>397</v>
      </c>
    </row>
    <row r="623" spans="1:6" s="12" customFormat="1" ht="12" customHeight="1">
      <c r="A623" s="280"/>
      <c r="B623" s="266"/>
      <c r="C623" s="153" t="s">
        <v>865</v>
      </c>
      <c r="D623" s="395"/>
      <c r="E623" s="286">
        <f>'6.mell'!E76</f>
        <v>397</v>
      </c>
      <c r="F623" s="368">
        <f t="shared" si="14"/>
        <v>397</v>
      </c>
    </row>
    <row r="624" spans="1:6" s="12" customFormat="1" ht="12" customHeight="1" thickBot="1">
      <c r="A624" s="280"/>
      <c r="B624" s="266"/>
      <c r="C624" s="187" t="s">
        <v>866</v>
      </c>
      <c r="D624" s="418"/>
      <c r="E624" s="319">
        <f>'6.mell'!F76</f>
        <v>0</v>
      </c>
      <c r="F624" s="368">
        <f t="shared" si="14"/>
        <v>0</v>
      </c>
    </row>
    <row r="625" spans="1:6" ht="11.25" customHeight="1" thickTop="1">
      <c r="A625" s="1855" t="s">
        <v>650</v>
      </c>
      <c r="B625" s="1856"/>
      <c r="C625" s="1857"/>
      <c r="D625" s="400"/>
      <c r="E625" s="321"/>
      <c r="F625" s="337"/>
    </row>
    <row r="626" spans="1:6" ht="11.25" customHeight="1">
      <c r="A626" s="323"/>
      <c r="B626" s="388"/>
      <c r="C626" s="177" t="s">
        <v>864</v>
      </c>
      <c r="D626" s="403"/>
      <c r="E626" s="325">
        <f>E602+E610+E614+E622</f>
        <v>1758689</v>
      </c>
      <c r="F626" s="338">
        <f>E626</f>
        <v>1758689</v>
      </c>
    </row>
    <row r="627" spans="1:6" ht="11.25" customHeight="1">
      <c r="A627" s="296"/>
      <c r="B627" s="297"/>
      <c r="C627" s="153" t="s">
        <v>865</v>
      </c>
      <c r="D627" s="406"/>
      <c r="E627" s="299">
        <f>E603+E611+E615+E623</f>
        <v>1848036</v>
      </c>
      <c r="F627" s="287">
        <f>E627</f>
        <v>1848036</v>
      </c>
    </row>
    <row r="628" spans="1:6" ht="11.25" customHeight="1" thickBot="1">
      <c r="A628" s="300"/>
      <c r="B628" s="301"/>
      <c r="C628" s="201" t="s">
        <v>866</v>
      </c>
      <c r="D628" s="409"/>
      <c r="E628" s="365">
        <f>E604+E612+E616+E624</f>
        <v>886765</v>
      </c>
      <c r="F628" s="355">
        <f>E628</f>
        <v>886765</v>
      </c>
    </row>
    <row r="629" spans="1:6" ht="12" customHeight="1" thickTop="1">
      <c r="A629" s="296" t="s">
        <v>353</v>
      </c>
      <c r="B629" s="307"/>
      <c r="C629" s="308" t="s">
        <v>419</v>
      </c>
      <c r="D629" s="411"/>
      <c r="E629" s="298"/>
      <c r="F629" s="311"/>
    </row>
    <row r="630" spans="1:6" ht="4.5" customHeight="1">
      <c r="A630" s="296"/>
      <c r="B630" s="307"/>
      <c r="C630" s="308"/>
      <c r="D630" s="411"/>
      <c r="E630" s="298"/>
      <c r="F630" s="311"/>
    </row>
    <row r="631" spans="1:6" ht="13.5" customHeight="1">
      <c r="A631" s="280" t="s">
        <v>316</v>
      </c>
      <c r="B631" s="419"/>
      <c r="C631" s="288" t="s">
        <v>771</v>
      </c>
      <c r="D631" s="420"/>
      <c r="E631" s="114"/>
      <c r="F631" s="287"/>
    </row>
    <row r="632" spans="1:6" ht="13.5" customHeight="1">
      <c r="A632" s="280"/>
      <c r="B632" s="419"/>
      <c r="C632" s="153" t="s">
        <v>864</v>
      </c>
      <c r="D632" s="420"/>
      <c r="E632" s="114">
        <f>'6.mell'!D85+'6.mell'!D91</f>
        <v>5850</v>
      </c>
      <c r="F632" s="287">
        <f>E632</f>
        <v>5850</v>
      </c>
    </row>
    <row r="633" spans="1:6" ht="13.5" customHeight="1">
      <c r="A633" s="280"/>
      <c r="B633" s="419"/>
      <c r="C633" s="153" t="s">
        <v>865</v>
      </c>
      <c r="D633" s="420"/>
      <c r="E633" s="114">
        <f>'6.mell'!E85+'6.mell'!E91+'6.mell'!E92+'6.mell'!E93+'6.mell'!E94</f>
        <v>17033</v>
      </c>
      <c r="F633" s="287">
        <f aca="true" t="shared" si="15" ref="F633:F638">E633</f>
        <v>17033</v>
      </c>
    </row>
    <row r="634" spans="1:6" ht="13.5" customHeight="1">
      <c r="A634" s="280"/>
      <c r="B634" s="419"/>
      <c r="C634" s="153" t="s">
        <v>866</v>
      </c>
      <c r="D634" s="420"/>
      <c r="E634" s="114">
        <f>'6.mell'!F85+'6.mell'!F91+'6.mell'!F92+'6.mell'!F93+'6.mell'!F94+397</f>
        <v>13630</v>
      </c>
      <c r="F634" s="287">
        <f t="shared" si="15"/>
        <v>13630</v>
      </c>
    </row>
    <row r="635" spans="1:6" s="60" customFormat="1" ht="12" customHeight="1">
      <c r="A635" s="314"/>
      <c r="B635" s="421"/>
      <c r="C635" s="422" t="s">
        <v>282</v>
      </c>
      <c r="D635" s="423"/>
      <c r="E635" s="158"/>
      <c r="F635" s="287"/>
    </row>
    <row r="636" spans="1:6" s="60" customFormat="1" ht="12" customHeight="1">
      <c r="A636" s="314"/>
      <c r="B636" s="421"/>
      <c r="C636" s="160" t="s">
        <v>864</v>
      </c>
      <c r="D636" s="423"/>
      <c r="E636" s="158">
        <f>'6.mell'!D91</f>
        <v>3850</v>
      </c>
      <c r="F636" s="287">
        <f t="shared" si="15"/>
        <v>3850</v>
      </c>
    </row>
    <row r="637" spans="1:6" s="60" customFormat="1" ht="12" customHeight="1">
      <c r="A637" s="314"/>
      <c r="B637" s="421"/>
      <c r="C637" s="160" t="s">
        <v>865</v>
      </c>
      <c r="D637" s="423"/>
      <c r="E637" s="158">
        <f>'6.mell'!E91+'6.mell'!E92+'6.mell'!E93+'6.mell'!E94</f>
        <v>15033</v>
      </c>
      <c r="F637" s="287">
        <f t="shared" si="15"/>
        <v>15033</v>
      </c>
    </row>
    <row r="638" spans="1:6" s="60" customFormat="1" ht="12" customHeight="1">
      <c r="A638" s="314"/>
      <c r="B638" s="421"/>
      <c r="C638" s="160" t="s">
        <v>866</v>
      </c>
      <c r="D638" s="423"/>
      <c r="E638" s="158">
        <f>'6.mell'!F91+'6.mell'!F92+'6.mell'!F93+'6.mell'!F94</f>
        <v>13233</v>
      </c>
      <c r="F638" s="287">
        <f t="shared" si="15"/>
        <v>13233</v>
      </c>
    </row>
    <row r="639" spans="1:6" ht="12.75" customHeight="1">
      <c r="A639" s="280" t="s">
        <v>318</v>
      </c>
      <c r="B639" s="419"/>
      <c r="C639" s="288" t="s">
        <v>772</v>
      </c>
      <c r="D639" s="420"/>
      <c r="E639" s="114"/>
      <c r="F639" s="287"/>
    </row>
    <row r="640" spans="1:6" ht="12.75" customHeight="1">
      <c r="A640" s="280"/>
      <c r="B640" s="419"/>
      <c r="C640" s="153" t="s">
        <v>864</v>
      </c>
      <c r="D640" s="420"/>
      <c r="E640" s="114">
        <v>0</v>
      </c>
      <c r="F640" s="287">
        <v>0</v>
      </c>
    </row>
    <row r="641" spans="1:6" ht="12.75" customHeight="1">
      <c r="A641" s="280"/>
      <c r="B641" s="419"/>
      <c r="C641" s="153" t="s">
        <v>865</v>
      </c>
      <c r="D641" s="420"/>
      <c r="E641" s="114">
        <v>0</v>
      </c>
      <c r="F641" s="287">
        <v>0</v>
      </c>
    </row>
    <row r="642" spans="1:6" ht="12.75" customHeight="1" thickBot="1">
      <c r="A642" s="280"/>
      <c r="B642" s="419"/>
      <c r="C642" s="187" t="s">
        <v>866</v>
      </c>
      <c r="D642" s="424"/>
      <c r="E642" s="425">
        <v>0</v>
      </c>
      <c r="F642" s="359">
        <v>0</v>
      </c>
    </row>
    <row r="643" spans="1:6" ht="15" customHeight="1" thickTop="1">
      <c r="A643" s="1855" t="s">
        <v>627</v>
      </c>
      <c r="B643" s="1856"/>
      <c r="C643" s="1857"/>
      <c r="D643" s="400"/>
      <c r="E643" s="321"/>
      <c r="F643" s="322"/>
    </row>
    <row r="644" spans="1:6" ht="15" customHeight="1">
      <c r="A644" s="323"/>
      <c r="B644" s="388"/>
      <c r="C644" s="426" t="s">
        <v>864</v>
      </c>
      <c r="D644" s="403"/>
      <c r="E644" s="325">
        <f>E632+E640</f>
        <v>5850</v>
      </c>
      <c r="F644" s="326">
        <f>E644</f>
        <v>5850</v>
      </c>
    </row>
    <row r="645" spans="1:6" ht="15" customHeight="1">
      <c r="A645" s="296"/>
      <c r="B645" s="297"/>
      <c r="C645" s="153" t="s">
        <v>865</v>
      </c>
      <c r="D645" s="406"/>
      <c r="E645" s="299">
        <f>E633+E641</f>
        <v>17033</v>
      </c>
      <c r="F645" s="327">
        <f>E645</f>
        <v>17033</v>
      </c>
    </row>
    <row r="646" spans="1:6" ht="15" customHeight="1" thickBot="1">
      <c r="A646" s="300"/>
      <c r="B646" s="301"/>
      <c r="C646" s="427" t="s">
        <v>866</v>
      </c>
      <c r="D646" s="409"/>
      <c r="E646" s="365">
        <f>E634+E642</f>
        <v>13630</v>
      </c>
      <c r="F646" s="331">
        <f>E646</f>
        <v>13630</v>
      </c>
    </row>
    <row r="647" spans="1:6" ht="12" customHeight="1" thickTop="1">
      <c r="A647" s="296" t="s">
        <v>376</v>
      </c>
      <c r="B647" s="307"/>
      <c r="C647" s="308" t="s">
        <v>333</v>
      </c>
      <c r="D647" s="309"/>
      <c r="E647" s="310"/>
      <c r="F647" s="333"/>
    </row>
    <row r="648" spans="1:6" s="12" customFormat="1" ht="5.25" customHeight="1">
      <c r="A648" s="280"/>
      <c r="B648" s="281"/>
      <c r="C648" s="335"/>
      <c r="D648" s="342"/>
      <c r="E648" s="343"/>
      <c r="F648" s="333"/>
    </row>
    <row r="649" spans="1:6" ht="12" customHeight="1">
      <c r="A649" s="280" t="s">
        <v>316</v>
      </c>
      <c r="B649" s="281"/>
      <c r="C649" s="288" t="s">
        <v>354</v>
      </c>
      <c r="D649" s="286"/>
      <c r="E649" s="286"/>
      <c r="F649" s="327"/>
    </row>
    <row r="650" spans="1:6" ht="12" customHeight="1">
      <c r="A650" s="280"/>
      <c r="B650" s="281"/>
      <c r="C650" s="153" t="s">
        <v>864</v>
      </c>
      <c r="D650" s="286">
        <v>7000</v>
      </c>
      <c r="E650" s="286"/>
      <c r="F650" s="327">
        <f>D650+E650</f>
        <v>7000</v>
      </c>
    </row>
    <row r="651" spans="1:6" ht="12" customHeight="1">
      <c r="A651" s="280"/>
      <c r="B651" s="281"/>
      <c r="C651" s="153" t="s">
        <v>865</v>
      </c>
      <c r="D651" s="286">
        <v>4185</v>
      </c>
      <c r="E651" s="286"/>
      <c r="F651" s="327">
        <f aca="true" t="shared" si="16" ref="F651:F660">D651+E651</f>
        <v>4185</v>
      </c>
    </row>
    <row r="652" spans="1:6" ht="12" customHeight="1">
      <c r="A652" s="280"/>
      <c r="B652" s="281"/>
      <c r="C652" s="153" t="s">
        <v>866</v>
      </c>
      <c r="D652" s="286">
        <v>0</v>
      </c>
      <c r="E652" s="286"/>
      <c r="F652" s="327">
        <f t="shared" si="16"/>
        <v>0</v>
      </c>
    </row>
    <row r="653" spans="1:6" ht="12" customHeight="1">
      <c r="A653" s="280" t="s">
        <v>318</v>
      </c>
      <c r="B653" s="281"/>
      <c r="C653" s="288" t="s">
        <v>420</v>
      </c>
      <c r="D653" s="286"/>
      <c r="E653" s="428"/>
      <c r="F653" s="327"/>
    </row>
    <row r="654" spans="1:6" ht="12" customHeight="1">
      <c r="A654" s="280"/>
      <c r="B654" s="281"/>
      <c r="C654" s="153" t="s">
        <v>864</v>
      </c>
      <c r="D654" s="289">
        <v>9090</v>
      </c>
      <c r="E654" s="336"/>
      <c r="F654" s="327">
        <f t="shared" si="16"/>
        <v>9090</v>
      </c>
    </row>
    <row r="655" spans="1:6" ht="12" customHeight="1">
      <c r="A655" s="280"/>
      <c r="B655" s="281"/>
      <c r="C655" s="153" t="s">
        <v>865</v>
      </c>
      <c r="D655" s="286">
        <v>7418</v>
      </c>
      <c r="E655" s="428"/>
      <c r="F655" s="327">
        <f t="shared" si="16"/>
        <v>7418</v>
      </c>
    </row>
    <row r="656" spans="1:6" ht="12" customHeight="1">
      <c r="A656" s="280"/>
      <c r="B656" s="281"/>
      <c r="C656" s="153" t="s">
        <v>866</v>
      </c>
      <c r="D656" s="286">
        <v>0</v>
      </c>
      <c r="E656" s="428"/>
      <c r="F656" s="327">
        <f t="shared" si="16"/>
        <v>0</v>
      </c>
    </row>
    <row r="657" spans="1:6" ht="12" customHeight="1">
      <c r="A657" s="280" t="s">
        <v>319</v>
      </c>
      <c r="B657" s="281"/>
      <c r="C657" s="335" t="s">
        <v>480</v>
      </c>
      <c r="D657" s="286"/>
      <c r="E657" s="286"/>
      <c r="F657" s="327"/>
    </row>
    <row r="658" spans="1:6" ht="12" customHeight="1">
      <c r="A658" s="280"/>
      <c r="B658" s="266"/>
      <c r="C658" s="153" t="s">
        <v>864</v>
      </c>
      <c r="D658" s="286"/>
      <c r="E658" s="286">
        <v>300000</v>
      </c>
      <c r="F658" s="327">
        <f t="shared" si="16"/>
        <v>300000</v>
      </c>
    </row>
    <row r="659" spans="1:6" ht="12" customHeight="1">
      <c r="A659" s="280"/>
      <c r="B659" s="266"/>
      <c r="C659" s="153" t="s">
        <v>865</v>
      </c>
      <c r="D659" s="286"/>
      <c r="E659" s="286">
        <v>300000</v>
      </c>
      <c r="F659" s="327">
        <f t="shared" si="16"/>
        <v>300000</v>
      </c>
    </row>
    <row r="660" spans="1:6" ht="12" customHeight="1" thickBot="1">
      <c r="A660" s="280"/>
      <c r="B660" s="266"/>
      <c r="C660" s="153" t="s">
        <v>866</v>
      </c>
      <c r="D660" s="289"/>
      <c r="E660" s="289">
        <v>0</v>
      </c>
      <c r="F660" s="327">
        <f t="shared" si="16"/>
        <v>0</v>
      </c>
    </row>
    <row r="661" spans="1:6" ht="12" customHeight="1" thickTop="1">
      <c r="A661" s="1855" t="s">
        <v>628</v>
      </c>
      <c r="B661" s="1856"/>
      <c r="C661" s="1857"/>
      <c r="D661" s="321"/>
      <c r="E661" s="321"/>
      <c r="F661" s="322"/>
    </row>
    <row r="662" spans="1:6" ht="12" customHeight="1">
      <c r="A662" s="323"/>
      <c r="B662" s="388"/>
      <c r="C662" s="177" t="s">
        <v>864</v>
      </c>
      <c r="D662" s="325">
        <f>D650+D654+D658</f>
        <v>16090</v>
      </c>
      <c r="E662" s="325">
        <f>E650+E654+E658</f>
        <v>300000</v>
      </c>
      <c r="F662" s="326">
        <f>F650+F654+F658</f>
        <v>316090</v>
      </c>
    </row>
    <row r="663" spans="1:6" ht="12" customHeight="1">
      <c r="A663" s="296"/>
      <c r="B663" s="307"/>
      <c r="C663" s="153" t="s">
        <v>865</v>
      </c>
      <c r="D663" s="299">
        <f aca="true" t="shared" si="17" ref="D663:F664">D651+D655+D659</f>
        <v>11603</v>
      </c>
      <c r="E663" s="299">
        <f t="shared" si="17"/>
        <v>300000</v>
      </c>
      <c r="F663" s="327">
        <f t="shared" si="17"/>
        <v>311603</v>
      </c>
    </row>
    <row r="664" spans="1:6" ht="12" customHeight="1" thickBot="1">
      <c r="A664" s="296"/>
      <c r="B664" s="297"/>
      <c r="C664" s="153" t="s">
        <v>866</v>
      </c>
      <c r="D664" s="298">
        <f t="shared" si="17"/>
        <v>0</v>
      </c>
      <c r="E664" s="298">
        <f t="shared" si="17"/>
        <v>0</v>
      </c>
      <c r="F664" s="331">
        <f t="shared" si="17"/>
        <v>0</v>
      </c>
    </row>
    <row r="665" spans="1:6" ht="12" customHeight="1" thickTop="1">
      <c r="A665" s="126" t="s">
        <v>406</v>
      </c>
      <c r="B665" s="127"/>
      <c r="C665" s="429" t="s">
        <v>639</v>
      </c>
      <c r="D665" s="321"/>
      <c r="E665" s="361"/>
      <c r="F665" s="362"/>
    </row>
    <row r="666" spans="1:6" ht="12" customHeight="1">
      <c r="A666" s="280" t="s">
        <v>316</v>
      </c>
      <c r="B666" s="281"/>
      <c r="C666" s="169" t="s">
        <v>652</v>
      </c>
      <c r="D666" s="286"/>
      <c r="E666" s="286"/>
      <c r="F666" s="287"/>
    </row>
    <row r="667" spans="1:6" ht="12" customHeight="1">
      <c r="A667" s="280"/>
      <c r="B667" s="266"/>
      <c r="C667" s="153" t="s">
        <v>864</v>
      </c>
      <c r="D667" s="286">
        <v>0</v>
      </c>
      <c r="E667" s="286">
        <f>'6.mell'!D84</f>
        <v>3529</v>
      </c>
      <c r="F667" s="287">
        <f>E667+D667</f>
        <v>3529</v>
      </c>
    </row>
    <row r="668" spans="1:6" ht="12" customHeight="1">
      <c r="A668" s="280"/>
      <c r="B668" s="266"/>
      <c r="C668" s="153" t="s">
        <v>865</v>
      </c>
      <c r="D668" s="286">
        <v>180</v>
      </c>
      <c r="E668" s="286">
        <f>'6.mell'!E84</f>
        <v>3529</v>
      </c>
      <c r="F668" s="287">
        <f aca="true" t="shared" si="18" ref="F668:F677">E668+D668</f>
        <v>3709</v>
      </c>
    </row>
    <row r="669" spans="1:6" ht="12" customHeight="1">
      <c r="A669" s="280"/>
      <c r="B669" s="266"/>
      <c r="C669" s="153" t="s">
        <v>866</v>
      </c>
      <c r="D669" s="286">
        <v>180</v>
      </c>
      <c r="E669" s="286">
        <f>'6.mell'!F84</f>
        <v>0</v>
      </c>
      <c r="F669" s="287">
        <f t="shared" si="18"/>
        <v>180</v>
      </c>
    </row>
    <row r="670" spans="1:6" ht="12" customHeight="1">
      <c r="A670" s="280" t="s">
        <v>318</v>
      </c>
      <c r="B670" s="266"/>
      <c r="C670" s="169" t="s">
        <v>653</v>
      </c>
      <c r="D670" s="286"/>
      <c r="E670" s="286"/>
      <c r="F670" s="287"/>
    </row>
    <row r="671" spans="1:6" ht="12" customHeight="1">
      <c r="A671" s="280"/>
      <c r="B671" s="266"/>
      <c r="C671" s="153" t="s">
        <v>864</v>
      </c>
      <c r="D671" s="286"/>
      <c r="E671" s="286">
        <f>'6.mell'!D89+'6.mell'!D90</f>
        <v>24479</v>
      </c>
      <c r="F671" s="287">
        <f t="shared" si="18"/>
        <v>24479</v>
      </c>
    </row>
    <row r="672" spans="1:6" ht="12" customHeight="1">
      <c r="A672" s="280"/>
      <c r="B672" s="266"/>
      <c r="C672" s="153" t="s">
        <v>865</v>
      </c>
      <c r="D672" s="286"/>
      <c r="E672" s="286">
        <f>'6.mell'!E89+'6.mell'!E90</f>
        <v>24509</v>
      </c>
      <c r="F672" s="287">
        <f t="shared" si="18"/>
        <v>24509</v>
      </c>
    </row>
    <row r="673" spans="1:6" ht="12" customHeight="1">
      <c r="A673" s="280"/>
      <c r="B673" s="266"/>
      <c r="C673" s="153" t="s">
        <v>866</v>
      </c>
      <c r="D673" s="286"/>
      <c r="E673" s="286">
        <f>'6.mell'!F89+'6.mell'!F90</f>
        <v>4111</v>
      </c>
      <c r="F673" s="327">
        <f t="shared" si="18"/>
        <v>4111</v>
      </c>
    </row>
    <row r="674" spans="1:6" s="60" customFormat="1" ht="12" customHeight="1">
      <c r="A674" s="314"/>
      <c r="B674" s="397"/>
      <c r="C674" s="422" t="s">
        <v>282</v>
      </c>
      <c r="D674" s="317"/>
      <c r="E674" s="317"/>
      <c r="F674" s="889"/>
    </row>
    <row r="675" spans="1:6" s="60" customFormat="1" ht="12" customHeight="1">
      <c r="A675" s="314"/>
      <c r="B675" s="397"/>
      <c r="C675" s="160" t="s">
        <v>864</v>
      </c>
      <c r="D675" s="317"/>
      <c r="E675" s="317">
        <f>'6.mell'!D89+'6.mell'!D90</f>
        <v>24479</v>
      </c>
      <c r="F675" s="889">
        <f t="shared" si="18"/>
        <v>24479</v>
      </c>
    </row>
    <row r="676" spans="1:6" s="60" customFormat="1" ht="12" customHeight="1">
      <c r="A676" s="314"/>
      <c r="B676" s="397"/>
      <c r="C676" s="160" t="s">
        <v>865</v>
      </c>
      <c r="D676" s="317"/>
      <c r="E676" s="317">
        <f>'6.mell'!E89+'6.mell'!E90</f>
        <v>24509</v>
      </c>
      <c r="F676" s="889">
        <f t="shared" si="18"/>
        <v>24509</v>
      </c>
    </row>
    <row r="677" spans="1:6" s="60" customFormat="1" ht="12" customHeight="1" thickBot="1">
      <c r="A677" s="314"/>
      <c r="B677" s="397"/>
      <c r="C677" s="430" t="s">
        <v>866</v>
      </c>
      <c r="D677" s="398"/>
      <c r="E677" s="398">
        <f>'6.mell'!F89+'6.mell'!F90</f>
        <v>4111</v>
      </c>
      <c r="F677" s="890">
        <f t="shared" si="18"/>
        <v>4111</v>
      </c>
    </row>
    <row r="678" spans="1:6" ht="12" customHeight="1" thickBot="1" thickTop="1">
      <c r="A678" s="1867" t="s">
        <v>651</v>
      </c>
      <c r="B678" s="1868"/>
      <c r="C678" s="1869"/>
      <c r="D678" s="321"/>
      <c r="E678" s="321"/>
      <c r="F678" s="322"/>
    </row>
    <row r="679" spans="1:6" ht="12" customHeight="1" thickTop="1">
      <c r="A679" s="126"/>
      <c r="B679" s="127"/>
      <c r="C679" s="153" t="s">
        <v>864</v>
      </c>
      <c r="D679" s="321">
        <f>D667+D671</f>
        <v>0</v>
      </c>
      <c r="E679" s="321">
        <f>E667+E671</f>
        <v>28008</v>
      </c>
      <c r="F679" s="322">
        <f>F667+F671</f>
        <v>28008</v>
      </c>
    </row>
    <row r="680" spans="1:6" ht="12" customHeight="1">
      <c r="A680" s="296"/>
      <c r="B680" s="307"/>
      <c r="C680" s="153" t="s">
        <v>865</v>
      </c>
      <c r="D680" s="299">
        <f aca="true" t="shared" si="19" ref="D680:F681">D668+D672</f>
        <v>180</v>
      </c>
      <c r="E680" s="299">
        <f t="shared" si="19"/>
        <v>28038</v>
      </c>
      <c r="F680" s="327">
        <f t="shared" si="19"/>
        <v>28218</v>
      </c>
    </row>
    <row r="681" spans="1:6" ht="12" customHeight="1" thickBot="1">
      <c r="A681" s="296"/>
      <c r="B681" s="297"/>
      <c r="C681" s="187" t="s">
        <v>866</v>
      </c>
      <c r="D681" s="298">
        <f t="shared" si="19"/>
        <v>180</v>
      </c>
      <c r="E681" s="298">
        <f t="shared" si="19"/>
        <v>4111</v>
      </c>
      <c r="F681" s="371">
        <f t="shared" si="19"/>
        <v>4291</v>
      </c>
    </row>
    <row r="682" spans="1:6" ht="12" customHeight="1" thickTop="1">
      <c r="A682" s="1855" t="s">
        <v>654</v>
      </c>
      <c r="B682" s="1856"/>
      <c r="C682" s="1857"/>
      <c r="D682" s="321"/>
      <c r="E682" s="321"/>
      <c r="F682" s="322"/>
    </row>
    <row r="683" spans="1:6" ht="12" customHeight="1">
      <c r="A683" s="323"/>
      <c r="B683" s="388"/>
      <c r="C683" s="177" t="s">
        <v>864</v>
      </c>
      <c r="D683" s="325">
        <f>D595+D626+D644+D662+D679</f>
        <v>1594834</v>
      </c>
      <c r="E683" s="325">
        <f>E595+E626+E644+E662+E679</f>
        <v>2092547</v>
      </c>
      <c r="F683" s="326">
        <f>F595+F626+F644+F662+F679</f>
        <v>3687381</v>
      </c>
    </row>
    <row r="684" spans="1:6" ht="12" customHeight="1">
      <c r="A684" s="296"/>
      <c r="B684" s="307"/>
      <c r="C684" s="153" t="s">
        <v>865</v>
      </c>
      <c r="D684" s="299">
        <f aca="true" t="shared" si="20" ref="D684:F685">D596+D627+D645+D663+D680</f>
        <v>1791070</v>
      </c>
      <c r="E684" s="299">
        <f t="shared" si="20"/>
        <v>2193107</v>
      </c>
      <c r="F684" s="327">
        <f t="shared" si="20"/>
        <v>3984177</v>
      </c>
    </row>
    <row r="685" spans="1:6" ht="12" customHeight="1" thickBot="1">
      <c r="A685" s="296"/>
      <c r="B685" s="297"/>
      <c r="C685" s="153" t="s">
        <v>866</v>
      </c>
      <c r="D685" s="298">
        <f t="shared" si="20"/>
        <v>1602217</v>
      </c>
      <c r="E685" s="298">
        <f t="shared" si="20"/>
        <v>904506</v>
      </c>
      <c r="F685" s="371">
        <f t="shared" si="20"/>
        <v>2506723</v>
      </c>
    </row>
    <row r="686" spans="1:6" ht="6" customHeight="1" thickTop="1">
      <c r="A686" s="126"/>
      <c r="B686" s="127"/>
      <c r="C686" s="360"/>
      <c r="D686" s="321"/>
      <c r="E686" s="361"/>
      <c r="F686" s="891"/>
    </row>
    <row r="687" spans="1:6" ht="12" customHeight="1">
      <c r="A687" s="296" t="s">
        <v>655</v>
      </c>
      <c r="B687" s="297"/>
      <c r="C687" s="334" t="s">
        <v>481</v>
      </c>
      <c r="D687" s="299"/>
      <c r="E687" s="299"/>
      <c r="F687" s="327"/>
    </row>
    <row r="688" spans="1:6" ht="12" customHeight="1">
      <c r="A688" s="296"/>
      <c r="B688" s="297"/>
      <c r="C688" s="153" t="s">
        <v>864</v>
      </c>
      <c r="D688" s="298">
        <v>0</v>
      </c>
      <c r="E688" s="298">
        <f>'5.mell'!M614</f>
        <v>978</v>
      </c>
      <c r="F688" s="371">
        <f>D688+E688</f>
        <v>978</v>
      </c>
    </row>
    <row r="689" spans="1:6" ht="12" customHeight="1">
      <c r="A689" s="296"/>
      <c r="B689" s="297"/>
      <c r="C689" s="153" t="s">
        <v>865</v>
      </c>
      <c r="D689" s="299">
        <f>'5.mell'!G619+'5.mell'!J623</f>
        <v>70133</v>
      </c>
      <c r="E689" s="299">
        <f>'5.mell'!M615</f>
        <v>978</v>
      </c>
      <c r="F689" s="327">
        <f>D689+E689</f>
        <v>71111</v>
      </c>
    </row>
    <row r="690" spans="1:6" ht="12" customHeight="1">
      <c r="A690" s="296"/>
      <c r="B690" s="297"/>
      <c r="C690" s="153" t="s">
        <v>866</v>
      </c>
      <c r="D690" s="299">
        <f>'5.mell'!G620</f>
        <v>31403</v>
      </c>
      <c r="E690" s="299">
        <v>978</v>
      </c>
      <c r="F690" s="327">
        <f>D690+E690</f>
        <v>32381</v>
      </c>
    </row>
    <row r="691" spans="1:6" ht="7.5" customHeight="1" thickBot="1">
      <c r="A691" s="296"/>
      <c r="B691" s="297"/>
      <c r="C691" s="431"/>
      <c r="D691" s="298"/>
      <c r="E691" s="366"/>
      <c r="F691" s="371"/>
    </row>
    <row r="692" spans="1:6" ht="12" customHeight="1" thickBot="1" thickTop="1">
      <c r="A692" s="1873" t="s">
        <v>776</v>
      </c>
      <c r="B692" s="1874"/>
      <c r="C692" s="1875"/>
      <c r="D692" s="432"/>
      <c r="E692" s="432"/>
      <c r="F692" s="433"/>
    </row>
    <row r="693" spans="1:6" ht="12" customHeight="1">
      <c r="A693" s="280"/>
      <c r="B693" s="266"/>
      <c r="C693" s="153" t="s">
        <v>864</v>
      </c>
      <c r="D693" s="381">
        <f aca="true" t="shared" si="21" ref="D693:F695">D683+D688</f>
        <v>1594834</v>
      </c>
      <c r="E693" s="434">
        <f t="shared" si="21"/>
        <v>2093525</v>
      </c>
      <c r="F693" s="371">
        <f t="shared" si="21"/>
        <v>3688359</v>
      </c>
    </row>
    <row r="694" spans="1:6" ht="12" customHeight="1">
      <c r="A694" s="280"/>
      <c r="B694" s="266"/>
      <c r="C694" s="153" t="s">
        <v>865</v>
      </c>
      <c r="D694" s="435">
        <f t="shared" si="21"/>
        <v>1861203</v>
      </c>
      <c r="E694" s="357">
        <f t="shared" si="21"/>
        <v>2194085</v>
      </c>
      <c r="F694" s="358">
        <f t="shared" si="21"/>
        <v>4055288</v>
      </c>
    </row>
    <row r="695" spans="1:6" ht="12" customHeight="1" thickBot="1">
      <c r="A695" s="436"/>
      <c r="B695" s="272"/>
      <c r="C695" s="258" t="s">
        <v>866</v>
      </c>
      <c r="D695" s="275">
        <f t="shared" si="21"/>
        <v>1633620</v>
      </c>
      <c r="E695" s="437">
        <f t="shared" si="21"/>
        <v>905484</v>
      </c>
      <c r="F695" s="892">
        <f t="shared" si="21"/>
        <v>2539104</v>
      </c>
    </row>
  </sheetData>
  <sheetProtection/>
  <mergeCells count="21">
    <mergeCell ref="A7:F7"/>
    <mergeCell ref="A554:C554"/>
    <mergeCell ref="A558:C558"/>
    <mergeCell ref="A550:C550"/>
    <mergeCell ref="A562:F562"/>
    <mergeCell ref="C314:F314"/>
    <mergeCell ref="A692:C692"/>
    <mergeCell ref="A661:C661"/>
    <mergeCell ref="A678:C678"/>
    <mergeCell ref="A682:C682"/>
    <mergeCell ref="A643:C643"/>
    <mergeCell ref="C31:F31"/>
    <mergeCell ref="C8:F8"/>
    <mergeCell ref="A5:C6"/>
    <mergeCell ref="F5:F6"/>
    <mergeCell ref="A594:C594"/>
    <mergeCell ref="A625:C625"/>
    <mergeCell ref="C522:F522"/>
    <mergeCell ref="C289:F289"/>
    <mergeCell ref="A26:C26"/>
    <mergeCell ref="A518:C518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71" r:id="rId2"/>
  <rowBreaks count="7" manualBreakCount="7">
    <brk id="102" max="5" man="1"/>
    <brk id="200" max="5" man="1"/>
    <brk id="280" max="5" man="1"/>
    <brk id="372" max="5" man="1"/>
    <brk id="464" max="5" man="1"/>
    <brk id="561" max="5" man="1"/>
    <brk id="646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5.00390625" style="132" customWidth="1"/>
    <col min="2" max="2" width="24.125" style="132" customWidth="1"/>
    <col min="3" max="3" width="10.25390625" style="477" customWidth="1"/>
    <col min="4" max="4" width="11.75390625" style="477" customWidth="1"/>
    <col min="5" max="5" width="10.25390625" style="477" customWidth="1"/>
    <col min="6" max="6" width="7.375" style="477" customWidth="1"/>
    <col min="7" max="7" width="14.375" style="477" customWidth="1"/>
    <col min="8" max="8" width="14.625" style="132" customWidth="1"/>
    <col min="9" max="9" width="10.375" style="132" customWidth="1"/>
    <col min="10" max="10" width="9.125" style="132" customWidth="1"/>
    <col min="11" max="11" width="9.00390625" style="132" customWidth="1"/>
    <col min="12" max="12" width="9.875" style="444" customWidth="1"/>
  </cols>
  <sheetData>
    <row r="1" spans="1:12" ht="12.75">
      <c r="A1" s="442"/>
      <c r="B1" s="442"/>
      <c r="C1" s="442"/>
      <c r="D1" s="442"/>
      <c r="E1" s="442"/>
      <c r="F1" s="442"/>
      <c r="G1" s="442"/>
      <c r="H1" s="1901"/>
      <c r="I1" s="1901"/>
      <c r="J1" s="1901"/>
      <c r="K1" s="1901"/>
      <c r="L1" s="1901"/>
    </row>
    <row r="2" spans="1:12" ht="12.75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3"/>
    </row>
    <row r="3" spans="1:12" ht="12.75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3"/>
    </row>
    <row r="4" spans="1:12" ht="14.25" customHeight="1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1884" t="s">
        <v>356</v>
      </c>
      <c r="L4" s="1884"/>
    </row>
    <row r="5" spans="1:11" ht="9.75" customHeight="1" thickBot="1">
      <c r="A5" s="442"/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2" s="27" customFormat="1" ht="24" customHeight="1">
      <c r="A6" s="445"/>
      <c r="B6" s="446"/>
      <c r="C6" s="1891" t="s">
        <v>317</v>
      </c>
      <c r="D6" s="1894" t="s">
        <v>598</v>
      </c>
      <c r="E6" s="1894" t="s">
        <v>597</v>
      </c>
      <c r="F6" s="1897" t="s">
        <v>575</v>
      </c>
      <c r="G6" s="1894" t="s">
        <v>626</v>
      </c>
      <c r="H6" s="1909" t="s">
        <v>619</v>
      </c>
      <c r="I6" s="1894" t="s">
        <v>479</v>
      </c>
      <c r="J6" s="1907" t="s">
        <v>544</v>
      </c>
      <c r="K6" s="1908"/>
      <c r="L6" s="447"/>
    </row>
    <row r="7" spans="1:12" s="27" customFormat="1" ht="22.5" customHeight="1">
      <c r="A7" s="448" t="s">
        <v>421</v>
      </c>
      <c r="B7" s="449" t="s">
        <v>422</v>
      </c>
      <c r="C7" s="1892"/>
      <c r="D7" s="1895"/>
      <c r="E7" s="1895"/>
      <c r="F7" s="1898"/>
      <c r="G7" s="1895"/>
      <c r="H7" s="1910"/>
      <c r="I7" s="1904"/>
      <c r="J7" s="1902" t="s">
        <v>573</v>
      </c>
      <c r="K7" s="1903"/>
      <c r="L7" s="450" t="s">
        <v>337</v>
      </c>
    </row>
    <row r="8" spans="1:12" s="27" customFormat="1" ht="12.75" customHeight="1">
      <c r="A8" s="448" t="s">
        <v>423</v>
      </c>
      <c r="B8" s="449" t="s">
        <v>424</v>
      </c>
      <c r="C8" s="1892"/>
      <c r="D8" s="1895"/>
      <c r="E8" s="1895"/>
      <c r="F8" s="1898"/>
      <c r="G8" s="1895"/>
      <c r="H8" s="1910"/>
      <c r="I8" s="1904"/>
      <c r="J8" s="1906" t="s">
        <v>335</v>
      </c>
      <c r="K8" s="1906" t="s">
        <v>574</v>
      </c>
      <c r="L8" s="450"/>
    </row>
    <row r="9" spans="1:12" s="27" customFormat="1" ht="11.25" customHeight="1" thickBot="1">
      <c r="A9" s="451"/>
      <c r="B9" s="452"/>
      <c r="C9" s="1893"/>
      <c r="D9" s="1896"/>
      <c r="E9" s="1896"/>
      <c r="F9" s="1899"/>
      <c r="G9" s="1896"/>
      <c r="H9" s="1911"/>
      <c r="I9" s="1905"/>
      <c r="J9" s="1905"/>
      <c r="K9" s="1905"/>
      <c r="L9" s="453"/>
    </row>
    <row r="10" spans="1:12" s="27" customFormat="1" ht="15.75" customHeight="1">
      <c r="A10" s="1888" t="s">
        <v>801</v>
      </c>
      <c r="B10" s="1889"/>
      <c r="C10" s="1889"/>
      <c r="D10" s="1889"/>
      <c r="E10" s="1889"/>
      <c r="F10" s="1889"/>
      <c r="G10" s="1889"/>
      <c r="H10" s="1889"/>
      <c r="I10" s="1889"/>
      <c r="J10" s="1889"/>
      <c r="K10" s="1889"/>
      <c r="L10" s="1890"/>
    </row>
    <row r="11" spans="1:12" ht="15" customHeight="1">
      <c r="A11" s="454" t="s">
        <v>316</v>
      </c>
      <c r="B11" s="1885" t="s">
        <v>596</v>
      </c>
      <c r="C11" s="1886"/>
      <c r="D11" s="1887"/>
      <c r="E11" s="455"/>
      <c r="F11" s="455"/>
      <c r="G11" s="455"/>
      <c r="H11" s="455"/>
      <c r="I11" s="455"/>
      <c r="J11" s="455"/>
      <c r="K11" s="455"/>
      <c r="L11" s="456"/>
    </row>
    <row r="12" spans="1:12" ht="15" customHeight="1">
      <c r="A12" s="454"/>
      <c r="B12" s="153" t="s">
        <v>864</v>
      </c>
      <c r="C12" s="457">
        <v>6814</v>
      </c>
      <c r="D12" s="457">
        <v>0</v>
      </c>
      <c r="E12" s="457">
        <v>33100</v>
      </c>
      <c r="F12" s="457">
        <v>33100</v>
      </c>
      <c r="G12" s="457">
        <v>0</v>
      </c>
      <c r="H12" s="457">
        <v>0</v>
      </c>
      <c r="I12" s="457">
        <v>43214</v>
      </c>
      <c r="J12" s="457">
        <v>0</v>
      </c>
      <c r="K12" s="457">
        <v>0</v>
      </c>
      <c r="L12" s="458">
        <f>SUM(C12:E12)+G12+H12+I12+J12+K12</f>
        <v>83128</v>
      </c>
    </row>
    <row r="13" spans="1:12" ht="15" customHeight="1">
      <c r="A13" s="454"/>
      <c r="B13" s="153" t="s">
        <v>865</v>
      </c>
      <c r="C13" s="457">
        <v>8385</v>
      </c>
      <c r="D13" s="457"/>
      <c r="E13" s="457">
        <v>25922</v>
      </c>
      <c r="F13" s="457">
        <v>25636</v>
      </c>
      <c r="G13" s="457"/>
      <c r="H13" s="457"/>
      <c r="I13" s="457">
        <v>48207</v>
      </c>
      <c r="J13" s="457">
        <v>305</v>
      </c>
      <c r="K13" s="457"/>
      <c r="L13" s="458">
        <f aca="true" t="shared" si="0" ref="L13:L30">SUM(C13:E13)+G13+H13+I13+J13+K13</f>
        <v>82819</v>
      </c>
    </row>
    <row r="14" spans="1:12" ht="15" customHeight="1">
      <c r="A14" s="454"/>
      <c r="B14" s="153" t="s">
        <v>866</v>
      </c>
      <c r="C14" s="457">
        <v>9445</v>
      </c>
      <c r="D14" s="457"/>
      <c r="E14" s="457">
        <v>26343</v>
      </c>
      <c r="F14" s="457">
        <v>26058</v>
      </c>
      <c r="G14" s="457"/>
      <c r="H14" s="457"/>
      <c r="I14" s="457">
        <v>48207</v>
      </c>
      <c r="J14" s="457">
        <v>305</v>
      </c>
      <c r="K14" s="457"/>
      <c r="L14" s="458">
        <f t="shared" si="0"/>
        <v>84300</v>
      </c>
    </row>
    <row r="15" spans="1:12" ht="15" customHeight="1">
      <c r="A15" s="454" t="s">
        <v>318</v>
      </c>
      <c r="B15" s="1882" t="s">
        <v>470</v>
      </c>
      <c r="C15" s="1883"/>
      <c r="D15" s="457"/>
      <c r="E15" s="457"/>
      <c r="F15" s="457"/>
      <c r="G15" s="457"/>
      <c r="H15" s="457"/>
      <c r="I15" s="457"/>
      <c r="J15" s="457"/>
      <c r="K15" s="457"/>
      <c r="L15" s="458"/>
    </row>
    <row r="16" spans="1:12" ht="15" customHeight="1">
      <c r="A16" s="454"/>
      <c r="B16" s="153" t="s">
        <v>864</v>
      </c>
      <c r="C16" s="457">
        <v>6386</v>
      </c>
      <c r="D16" s="457"/>
      <c r="E16" s="457"/>
      <c r="F16" s="457"/>
      <c r="G16" s="457"/>
      <c r="H16" s="457"/>
      <c r="I16" s="457">
        <v>79740</v>
      </c>
      <c r="J16" s="457"/>
      <c r="K16" s="457"/>
      <c r="L16" s="458">
        <f t="shared" si="0"/>
        <v>86126</v>
      </c>
    </row>
    <row r="17" spans="1:12" ht="15" customHeight="1">
      <c r="A17" s="454"/>
      <c r="B17" s="153" t="s">
        <v>865</v>
      </c>
      <c r="C17" s="457">
        <v>6386</v>
      </c>
      <c r="D17" s="457"/>
      <c r="E17" s="457"/>
      <c r="F17" s="457"/>
      <c r="G17" s="457"/>
      <c r="H17" s="457"/>
      <c r="I17" s="457">
        <v>83012</v>
      </c>
      <c r="J17" s="457">
        <v>756</v>
      </c>
      <c r="K17" s="457"/>
      <c r="L17" s="458">
        <f t="shared" si="0"/>
        <v>90154</v>
      </c>
    </row>
    <row r="18" spans="1:12" ht="15" customHeight="1">
      <c r="A18" s="454"/>
      <c r="B18" s="153" t="s">
        <v>866</v>
      </c>
      <c r="C18" s="457">
        <v>6797</v>
      </c>
      <c r="D18" s="457"/>
      <c r="E18" s="457">
        <v>20</v>
      </c>
      <c r="F18" s="457"/>
      <c r="G18" s="457"/>
      <c r="H18" s="457"/>
      <c r="I18" s="457">
        <v>84520</v>
      </c>
      <c r="J18" s="457">
        <v>756</v>
      </c>
      <c r="K18" s="457"/>
      <c r="L18" s="458">
        <f>SUM(C18:E18)+G18+H18+I18+J18+K18</f>
        <v>92093</v>
      </c>
    </row>
    <row r="19" spans="1:12" ht="15" customHeight="1">
      <c r="A19" s="454" t="s">
        <v>319</v>
      </c>
      <c r="B19" s="459" t="s">
        <v>827</v>
      </c>
      <c r="C19" s="457"/>
      <c r="D19" s="457"/>
      <c r="E19" s="457"/>
      <c r="F19" s="457"/>
      <c r="G19" s="457"/>
      <c r="H19" s="457"/>
      <c r="I19" s="457"/>
      <c r="J19" s="457"/>
      <c r="K19" s="457"/>
      <c r="L19" s="458"/>
    </row>
    <row r="20" spans="1:12" ht="15" customHeight="1">
      <c r="A20" s="454"/>
      <c r="B20" s="153" t="s">
        <v>864</v>
      </c>
      <c r="C20" s="457">
        <v>4800</v>
      </c>
      <c r="D20" s="457"/>
      <c r="E20" s="457"/>
      <c r="F20" s="457"/>
      <c r="G20" s="457"/>
      <c r="H20" s="457"/>
      <c r="I20" s="457">
        <v>16111</v>
      </c>
      <c r="J20" s="457"/>
      <c r="K20" s="457"/>
      <c r="L20" s="458">
        <f t="shared" si="0"/>
        <v>20911</v>
      </c>
    </row>
    <row r="21" spans="1:12" ht="15" customHeight="1">
      <c r="A21" s="454"/>
      <c r="B21" s="153" t="s">
        <v>865</v>
      </c>
      <c r="C21" s="457">
        <v>4800</v>
      </c>
      <c r="D21" s="457"/>
      <c r="E21" s="457"/>
      <c r="F21" s="457"/>
      <c r="G21" s="457"/>
      <c r="H21" s="457"/>
      <c r="I21" s="457">
        <v>17785</v>
      </c>
      <c r="J21" s="457">
        <v>705</v>
      </c>
      <c r="K21" s="457"/>
      <c r="L21" s="458">
        <f t="shared" si="0"/>
        <v>23290</v>
      </c>
    </row>
    <row r="22" spans="1:12" ht="15" customHeight="1">
      <c r="A22" s="454"/>
      <c r="B22" s="153" t="s">
        <v>866</v>
      </c>
      <c r="C22" s="457">
        <v>4612</v>
      </c>
      <c r="D22" s="457"/>
      <c r="E22" s="457"/>
      <c r="F22" s="457"/>
      <c r="G22" s="457"/>
      <c r="H22" s="457"/>
      <c r="I22" s="457">
        <v>17785</v>
      </c>
      <c r="J22" s="457">
        <v>705</v>
      </c>
      <c r="K22" s="457"/>
      <c r="L22" s="458">
        <f t="shared" si="0"/>
        <v>23102</v>
      </c>
    </row>
    <row r="23" spans="1:12" ht="15" customHeight="1">
      <c r="A23" s="454" t="s">
        <v>321</v>
      </c>
      <c r="B23" s="459" t="s">
        <v>469</v>
      </c>
      <c r="C23" s="457"/>
      <c r="D23" s="457"/>
      <c r="E23" s="457"/>
      <c r="F23" s="457"/>
      <c r="G23" s="457"/>
      <c r="H23" s="457"/>
      <c r="I23" s="457"/>
      <c r="J23" s="457"/>
      <c r="K23" s="457"/>
      <c r="L23" s="458"/>
    </row>
    <row r="24" spans="1:12" ht="15" customHeight="1">
      <c r="A24" s="454"/>
      <c r="B24" s="153" t="s">
        <v>864</v>
      </c>
      <c r="C24" s="457">
        <v>1000</v>
      </c>
      <c r="D24" s="457"/>
      <c r="E24" s="457"/>
      <c r="F24" s="457"/>
      <c r="G24" s="457"/>
      <c r="H24" s="457"/>
      <c r="I24" s="457">
        <v>26535</v>
      </c>
      <c r="J24" s="457"/>
      <c r="K24" s="457"/>
      <c r="L24" s="458">
        <f t="shared" si="0"/>
        <v>27535</v>
      </c>
    </row>
    <row r="25" spans="1:12" ht="15" customHeight="1">
      <c r="A25" s="454"/>
      <c r="B25" s="153" t="s">
        <v>865</v>
      </c>
      <c r="C25" s="457">
        <v>1000</v>
      </c>
      <c r="D25" s="457"/>
      <c r="E25" s="457">
        <v>636</v>
      </c>
      <c r="F25" s="457"/>
      <c r="G25" s="457"/>
      <c r="H25" s="457"/>
      <c r="I25" s="457">
        <v>29328</v>
      </c>
      <c r="J25" s="457">
        <v>646</v>
      </c>
      <c r="K25" s="457"/>
      <c r="L25" s="458">
        <f t="shared" si="0"/>
        <v>31610</v>
      </c>
    </row>
    <row r="26" spans="1:12" ht="15" customHeight="1">
      <c r="A26" s="454"/>
      <c r="B26" s="153" t="s">
        <v>866</v>
      </c>
      <c r="C26" s="457">
        <v>1058</v>
      </c>
      <c r="D26" s="457"/>
      <c r="E26" s="457">
        <v>642</v>
      </c>
      <c r="F26" s="457"/>
      <c r="G26" s="457"/>
      <c r="H26" s="457"/>
      <c r="I26" s="457">
        <v>29328</v>
      </c>
      <c r="J26" s="457">
        <v>646</v>
      </c>
      <c r="K26" s="457"/>
      <c r="L26" s="458">
        <f t="shared" si="0"/>
        <v>31674</v>
      </c>
    </row>
    <row r="27" spans="1:12" ht="15" customHeight="1">
      <c r="A27" s="454" t="s">
        <v>322</v>
      </c>
      <c r="B27" s="1882" t="s">
        <v>471</v>
      </c>
      <c r="C27" s="1883"/>
      <c r="D27" s="457"/>
      <c r="E27" s="457"/>
      <c r="F27" s="457"/>
      <c r="G27" s="457"/>
      <c r="H27" s="457"/>
      <c r="I27" s="457"/>
      <c r="J27" s="457"/>
      <c r="K27" s="457"/>
      <c r="L27" s="458"/>
    </row>
    <row r="28" spans="1:12" ht="15" customHeight="1">
      <c r="A28" s="454"/>
      <c r="B28" s="153" t="s">
        <v>864</v>
      </c>
      <c r="C28" s="460">
        <v>2800</v>
      </c>
      <c r="D28" s="460"/>
      <c r="E28" s="460">
        <v>598</v>
      </c>
      <c r="F28" s="460"/>
      <c r="G28" s="460"/>
      <c r="H28" s="460"/>
      <c r="I28" s="460">
        <v>18039</v>
      </c>
      <c r="J28" s="460"/>
      <c r="K28" s="460">
        <v>397</v>
      </c>
      <c r="L28" s="458">
        <f t="shared" si="0"/>
        <v>21834</v>
      </c>
    </row>
    <row r="29" spans="1:12" ht="15" customHeight="1">
      <c r="A29" s="454"/>
      <c r="B29" s="153" t="s">
        <v>865</v>
      </c>
      <c r="C29" s="460">
        <v>2987</v>
      </c>
      <c r="D29" s="460"/>
      <c r="E29" s="460">
        <v>2070</v>
      </c>
      <c r="F29" s="460"/>
      <c r="G29" s="460"/>
      <c r="H29" s="460"/>
      <c r="I29" s="460">
        <v>18895</v>
      </c>
      <c r="J29" s="460">
        <v>1036</v>
      </c>
      <c r="K29" s="460">
        <v>397</v>
      </c>
      <c r="L29" s="458">
        <f t="shared" si="0"/>
        <v>25385</v>
      </c>
    </row>
    <row r="30" spans="1:12" ht="15" customHeight="1" thickBot="1">
      <c r="A30" s="454"/>
      <c r="B30" s="461" t="s">
        <v>866</v>
      </c>
      <c r="C30" s="462">
        <v>2988</v>
      </c>
      <c r="D30" s="462"/>
      <c r="E30" s="462">
        <v>2181</v>
      </c>
      <c r="F30" s="462"/>
      <c r="G30" s="462"/>
      <c r="H30" s="462"/>
      <c r="I30" s="462">
        <v>18895</v>
      </c>
      <c r="J30" s="462">
        <v>1036</v>
      </c>
      <c r="K30" s="462">
        <v>397</v>
      </c>
      <c r="L30" s="458">
        <f t="shared" si="0"/>
        <v>25497</v>
      </c>
    </row>
    <row r="31" spans="1:12" ht="16.5" customHeight="1" thickBot="1" thickTop="1">
      <c r="A31" s="463"/>
      <c r="B31" s="464" t="s">
        <v>781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6"/>
    </row>
    <row r="32" spans="1:12" ht="14.25" customHeight="1">
      <c r="A32" s="467"/>
      <c r="B32" s="468" t="s">
        <v>864</v>
      </c>
      <c r="C32" s="469">
        <f>C12+C16+C20+C24+C28</f>
        <v>21800</v>
      </c>
      <c r="D32" s="469">
        <f aca="true" t="shared" si="1" ref="D32:L32">D12+D16+D20+D24+D28</f>
        <v>0</v>
      </c>
      <c r="E32" s="469">
        <f t="shared" si="1"/>
        <v>33698</v>
      </c>
      <c r="F32" s="469">
        <f t="shared" si="1"/>
        <v>33100</v>
      </c>
      <c r="G32" s="469">
        <f t="shared" si="1"/>
        <v>0</v>
      </c>
      <c r="H32" s="469">
        <f t="shared" si="1"/>
        <v>0</v>
      </c>
      <c r="I32" s="469">
        <f t="shared" si="1"/>
        <v>183639</v>
      </c>
      <c r="J32" s="469">
        <f t="shared" si="1"/>
        <v>0</v>
      </c>
      <c r="K32" s="469">
        <f t="shared" si="1"/>
        <v>397</v>
      </c>
      <c r="L32" s="456">
        <f t="shared" si="1"/>
        <v>239534</v>
      </c>
    </row>
    <row r="33" spans="1:12" ht="14.25" customHeight="1">
      <c r="A33" s="470"/>
      <c r="B33" s="468" t="s">
        <v>865</v>
      </c>
      <c r="C33" s="471">
        <f aca="true" t="shared" si="2" ref="C33:L34">C13+C17+C21+C25+C29</f>
        <v>23558</v>
      </c>
      <c r="D33" s="471">
        <f t="shared" si="2"/>
        <v>0</v>
      </c>
      <c r="E33" s="471">
        <f t="shared" si="2"/>
        <v>28628</v>
      </c>
      <c r="F33" s="471">
        <f t="shared" si="2"/>
        <v>25636</v>
      </c>
      <c r="G33" s="471">
        <f t="shared" si="2"/>
        <v>0</v>
      </c>
      <c r="H33" s="471">
        <f t="shared" si="2"/>
        <v>0</v>
      </c>
      <c r="I33" s="471">
        <f t="shared" si="2"/>
        <v>197227</v>
      </c>
      <c r="J33" s="471">
        <f t="shared" si="2"/>
        <v>3448</v>
      </c>
      <c r="K33" s="471">
        <f t="shared" si="2"/>
        <v>397</v>
      </c>
      <c r="L33" s="895">
        <f t="shared" si="2"/>
        <v>253258</v>
      </c>
    </row>
    <row r="34" spans="1:12" ht="14.25" customHeight="1" thickBot="1">
      <c r="A34" s="467"/>
      <c r="B34" s="426" t="s">
        <v>866</v>
      </c>
      <c r="C34" s="469">
        <f t="shared" si="2"/>
        <v>24900</v>
      </c>
      <c r="D34" s="469">
        <f t="shared" si="2"/>
        <v>0</v>
      </c>
      <c r="E34" s="469">
        <f>E14+E18+E22+E26+E30</f>
        <v>29186</v>
      </c>
      <c r="F34" s="469">
        <f t="shared" si="2"/>
        <v>26058</v>
      </c>
      <c r="G34" s="469">
        <f t="shared" si="2"/>
        <v>0</v>
      </c>
      <c r="H34" s="469">
        <f t="shared" si="2"/>
        <v>0</v>
      </c>
      <c r="I34" s="469">
        <f t="shared" si="2"/>
        <v>198735</v>
      </c>
      <c r="J34" s="469">
        <f t="shared" si="2"/>
        <v>3448</v>
      </c>
      <c r="K34" s="469">
        <f t="shared" si="2"/>
        <v>397</v>
      </c>
      <c r="L34" s="456">
        <f t="shared" si="2"/>
        <v>256666</v>
      </c>
    </row>
    <row r="35" spans="1:12" ht="15.75" customHeight="1" thickTop="1">
      <c r="A35" s="1852" t="s">
        <v>802</v>
      </c>
      <c r="B35" s="1853"/>
      <c r="C35" s="1853"/>
      <c r="D35" s="1853"/>
      <c r="E35" s="1853"/>
      <c r="F35" s="1853"/>
      <c r="G35" s="1853"/>
      <c r="H35" s="1853"/>
      <c r="I35" s="1853"/>
      <c r="J35" s="1853"/>
      <c r="K35" s="1853"/>
      <c r="L35" s="1900"/>
    </row>
    <row r="36" spans="1:12" s="27" customFormat="1" ht="12.75" customHeight="1">
      <c r="A36" s="1708" t="s">
        <v>446</v>
      </c>
      <c r="B36" s="1702" t="s">
        <v>780</v>
      </c>
      <c r="C36" s="1703"/>
      <c r="D36" s="1703"/>
      <c r="E36" s="1703"/>
      <c r="F36" s="1703"/>
      <c r="G36" s="1703"/>
      <c r="H36" s="1704"/>
      <c r="I36" s="1705"/>
      <c r="J36" s="1704"/>
      <c r="K36" s="1704"/>
      <c r="L36" s="1706"/>
    </row>
    <row r="37" spans="1:12" ht="12.75">
      <c r="A37" s="1709"/>
      <c r="B37" s="187" t="s">
        <v>864</v>
      </c>
      <c r="C37" s="1700">
        <v>101542</v>
      </c>
      <c r="D37" s="1700"/>
      <c r="E37" s="1700"/>
      <c r="F37" s="1700"/>
      <c r="G37" s="1700"/>
      <c r="H37" s="110"/>
      <c r="I37" s="110">
        <v>253122</v>
      </c>
      <c r="J37" s="110"/>
      <c r="K37" s="110">
        <v>1007</v>
      </c>
      <c r="L37" s="1701">
        <v>355671</v>
      </c>
    </row>
    <row r="38" spans="1:12" ht="12.75">
      <c r="A38" s="1709"/>
      <c r="B38" s="153" t="s">
        <v>865</v>
      </c>
      <c r="C38" s="472">
        <f>'3.mell'!D556</f>
        <v>62315</v>
      </c>
      <c r="D38" s="472"/>
      <c r="E38" s="472"/>
      <c r="F38" s="472"/>
      <c r="G38" s="472"/>
      <c r="H38" s="111"/>
      <c r="I38" s="111">
        <v>291383</v>
      </c>
      <c r="J38" s="111">
        <v>2771</v>
      </c>
      <c r="K38" s="111">
        <v>1007</v>
      </c>
      <c r="L38" s="473">
        <f>SUM(C38:K38)</f>
        <v>357476</v>
      </c>
    </row>
    <row r="39" spans="1:12" ht="13.5" thickBot="1">
      <c r="A39" s="1707"/>
      <c r="B39" s="258" t="s">
        <v>866</v>
      </c>
      <c r="C39" s="474">
        <f>'3.mell'!D557-J39</f>
        <v>66490</v>
      </c>
      <c r="D39" s="474"/>
      <c r="E39" s="474"/>
      <c r="F39" s="474"/>
      <c r="G39" s="474"/>
      <c r="H39" s="475"/>
      <c r="I39" s="475">
        <v>290976</v>
      </c>
      <c r="J39" s="475">
        <v>4765</v>
      </c>
      <c r="K39" s="475">
        <v>1007</v>
      </c>
      <c r="L39" s="476">
        <f>SUM(C39+D39+E39+G39+H39+I39+J39+K39)</f>
        <v>363238</v>
      </c>
    </row>
    <row r="40" ht="12.75">
      <c r="I40" s="896"/>
    </row>
    <row r="41" ht="12.75">
      <c r="I41" s="896"/>
    </row>
    <row r="42" ht="12.75">
      <c r="I42" s="896"/>
    </row>
    <row r="43" ht="12.75">
      <c r="I43" s="896"/>
    </row>
    <row r="49" ht="12.75">
      <c r="I49" s="896">
        <f>I34+I39</f>
        <v>489711</v>
      </c>
    </row>
  </sheetData>
  <sheetProtection/>
  <mergeCells count="18">
    <mergeCell ref="A35:L35"/>
    <mergeCell ref="H1:L1"/>
    <mergeCell ref="J7:K7"/>
    <mergeCell ref="I6:I9"/>
    <mergeCell ref="K8:K9"/>
    <mergeCell ref="J8:J9"/>
    <mergeCell ref="J6:K6"/>
    <mergeCell ref="H6:H9"/>
    <mergeCell ref="G6:G9"/>
    <mergeCell ref="D6:D9"/>
    <mergeCell ref="B27:C27"/>
    <mergeCell ref="K4:L4"/>
    <mergeCell ref="B15:C15"/>
    <mergeCell ref="B11:D11"/>
    <mergeCell ref="A10:L10"/>
    <mergeCell ref="C6:C9"/>
    <mergeCell ref="E6:E9"/>
    <mergeCell ref="F6:F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8"/>
  <sheetViews>
    <sheetView zoomScaleSheetLayoutView="100" zoomScalePageLayoutView="0" workbookViewId="0" topLeftCell="C1">
      <selection activeCell="I590" sqref="I590"/>
    </sheetView>
  </sheetViews>
  <sheetFormatPr defaultColWidth="9.00390625" defaultRowHeight="12.75" customHeight="1"/>
  <cols>
    <col min="1" max="1" width="4.00390625" style="480" customWidth="1"/>
    <col min="2" max="2" width="3.375" style="481" customWidth="1"/>
    <col min="3" max="3" width="5.25390625" style="482" customWidth="1"/>
    <col min="4" max="4" width="38.75390625" style="481" customWidth="1"/>
    <col min="5" max="5" width="8.125" style="483" customWidth="1"/>
    <col min="6" max="6" width="8.875" style="483" customWidth="1"/>
    <col min="7" max="7" width="7.75390625" style="483" customWidth="1"/>
    <col min="8" max="8" width="7.25390625" style="483" customWidth="1"/>
    <col min="9" max="9" width="8.00390625" style="484" customWidth="1"/>
    <col min="10" max="10" width="7.875" style="483" customWidth="1"/>
    <col min="11" max="11" width="9.375" style="684" bestFit="1" customWidth="1"/>
    <col min="12" max="12" width="8.625" style="483" bestFit="1" customWidth="1"/>
    <col min="13" max="13" width="9.25390625" style="483" customWidth="1"/>
    <col min="14" max="14" width="7.625" style="483" customWidth="1"/>
    <col min="15" max="15" width="9.75390625" style="684" customWidth="1"/>
    <col min="16" max="16" width="6.875" style="683" bestFit="1" customWidth="1"/>
    <col min="17" max="17" width="9.125" style="23" customWidth="1"/>
    <col min="18" max="18" width="9.375" style="23" bestFit="1" customWidth="1"/>
    <col min="19" max="16384" width="9.125" style="23" customWidth="1"/>
  </cols>
  <sheetData>
    <row r="1" spans="11:16" ht="12.75" customHeight="1">
      <c r="K1" s="485"/>
      <c r="L1" s="1901"/>
      <c r="M1" s="1901"/>
      <c r="N1" s="1901"/>
      <c r="O1" s="1901"/>
      <c r="P1" s="1901"/>
    </row>
    <row r="2" spans="11:16" ht="12.75" customHeight="1">
      <c r="K2" s="485"/>
      <c r="L2" s="486"/>
      <c r="M2" s="486"/>
      <c r="N2" s="486"/>
      <c r="O2" s="485"/>
      <c r="P2" s="487"/>
    </row>
    <row r="3" spans="11:16" ht="12.75" customHeight="1">
      <c r="K3" s="485"/>
      <c r="L3" s="486"/>
      <c r="M3" s="486"/>
      <c r="N3" s="486"/>
      <c r="O3" s="485"/>
      <c r="P3" s="487"/>
    </row>
    <row r="4" spans="11:16" ht="12.75" customHeight="1" thickBot="1">
      <c r="K4" s="485"/>
      <c r="L4" s="486"/>
      <c r="M4" s="486"/>
      <c r="N4" s="486"/>
      <c r="O4" s="816" t="s">
        <v>301</v>
      </c>
      <c r="P4" s="488"/>
    </row>
    <row r="5" spans="1:16" s="687" customFormat="1" ht="32.25" customHeight="1">
      <c r="A5" s="1945" t="s">
        <v>422</v>
      </c>
      <c r="B5" s="1946"/>
      <c r="C5" s="1954" t="s">
        <v>633</v>
      </c>
      <c r="D5" s="120" t="s">
        <v>425</v>
      </c>
      <c r="E5" s="120" t="s">
        <v>426</v>
      </c>
      <c r="F5" s="122" t="s">
        <v>882</v>
      </c>
      <c r="G5" s="120" t="s">
        <v>427</v>
      </c>
      <c r="H5" s="120" t="s">
        <v>428</v>
      </c>
      <c r="I5" s="1912" t="s">
        <v>548</v>
      </c>
      <c r="J5" s="1913"/>
      <c r="K5" s="120" t="s">
        <v>335</v>
      </c>
      <c r="L5" s="120" t="s">
        <v>429</v>
      </c>
      <c r="M5" s="122" t="s">
        <v>880</v>
      </c>
      <c r="N5" s="120"/>
      <c r="O5" s="120" t="s">
        <v>342</v>
      </c>
      <c r="P5" s="686" t="s">
        <v>430</v>
      </c>
    </row>
    <row r="6" spans="1:16" s="687" customFormat="1" ht="30" customHeight="1">
      <c r="A6" s="1947" t="s">
        <v>431</v>
      </c>
      <c r="B6" s="1948"/>
      <c r="C6" s="1918"/>
      <c r="D6" s="124" t="s">
        <v>432</v>
      </c>
      <c r="E6" s="124" t="s">
        <v>549</v>
      </c>
      <c r="F6" s="123" t="s">
        <v>649</v>
      </c>
      <c r="G6" s="124" t="s">
        <v>433</v>
      </c>
      <c r="H6" s="124" t="s">
        <v>434</v>
      </c>
      <c r="I6" s="1918" t="s">
        <v>877</v>
      </c>
      <c r="J6" s="1959" t="s">
        <v>876</v>
      </c>
      <c r="K6" s="123" t="s">
        <v>435</v>
      </c>
      <c r="L6" s="124" t="s">
        <v>436</v>
      </c>
      <c r="M6" s="124" t="s">
        <v>878</v>
      </c>
      <c r="N6" s="123" t="s">
        <v>881</v>
      </c>
      <c r="O6" s="124" t="s">
        <v>315</v>
      </c>
      <c r="P6" s="688" t="s">
        <v>437</v>
      </c>
    </row>
    <row r="7" spans="1:16" s="687" customFormat="1" ht="27" customHeight="1" thickBot="1">
      <c r="A7" s="1949" t="s">
        <v>438</v>
      </c>
      <c r="B7" s="1950"/>
      <c r="C7" s="1955"/>
      <c r="D7" s="121"/>
      <c r="E7" s="121"/>
      <c r="F7" s="125" t="s">
        <v>875</v>
      </c>
      <c r="G7" s="121" t="s">
        <v>446</v>
      </c>
      <c r="H7" s="121" t="s">
        <v>550</v>
      </c>
      <c r="I7" s="1919"/>
      <c r="J7" s="1960"/>
      <c r="K7" s="121" t="s">
        <v>315</v>
      </c>
      <c r="L7" s="121" t="s">
        <v>439</v>
      </c>
      <c r="M7" s="121" t="s">
        <v>879</v>
      </c>
      <c r="N7" s="121"/>
      <c r="O7" s="121"/>
      <c r="P7" s="689"/>
    </row>
    <row r="8" spans="1:16" ht="11.25" customHeight="1">
      <c r="A8" s="496" t="s">
        <v>316</v>
      </c>
      <c r="B8" s="497"/>
      <c r="C8" s="498"/>
      <c r="D8" s="499" t="s">
        <v>596</v>
      </c>
      <c r="E8" s="497"/>
      <c r="F8" s="497"/>
      <c r="G8" s="497"/>
      <c r="H8" s="497"/>
      <c r="I8" s="500"/>
      <c r="J8" s="497"/>
      <c r="K8" s="535"/>
      <c r="L8" s="502"/>
      <c r="M8" s="502"/>
      <c r="N8" s="502"/>
      <c r="O8" s="505"/>
      <c r="P8" s="817"/>
    </row>
    <row r="9" spans="1:16" ht="11.25" customHeight="1">
      <c r="A9" s="496"/>
      <c r="B9" s="497"/>
      <c r="C9" s="498"/>
      <c r="D9" s="461" t="s">
        <v>864</v>
      </c>
      <c r="E9" s="497">
        <f aca="true" t="shared" si="0" ref="E9:J9">E13+E17+E21</f>
        <v>51076</v>
      </c>
      <c r="F9" s="497">
        <f t="shared" si="0"/>
        <v>13599</v>
      </c>
      <c r="G9" s="497">
        <f t="shared" si="0"/>
        <v>18453</v>
      </c>
      <c r="H9" s="497">
        <f t="shared" si="0"/>
        <v>0</v>
      </c>
      <c r="I9" s="497">
        <f t="shared" si="0"/>
        <v>0</v>
      </c>
      <c r="J9" s="497">
        <f t="shared" si="0"/>
        <v>0</v>
      </c>
      <c r="K9" s="535">
        <f aca="true" t="shared" si="1" ref="K9:K62">SUM(E9:J9)</f>
        <v>83128</v>
      </c>
      <c r="L9" s="497">
        <f>L13+L17+L21</f>
        <v>0</v>
      </c>
      <c r="M9" s="497">
        <f>M13+M17+M21</f>
        <v>0</v>
      </c>
      <c r="N9" s="497">
        <f>N13+N17+N21</f>
        <v>0</v>
      </c>
      <c r="O9" s="505">
        <f>O13+O17+O21</f>
        <v>83128</v>
      </c>
      <c r="P9" s="817">
        <f>P13+P17+P21</f>
        <v>26.5</v>
      </c>
    </row>
    <row r="10" spans="1:16" ht="11.25" customHeight="1">
      <c r="A10" s="496"/>
      <c r="B10" s="497"/>
      <c r="C10" s="498"/>
      <c r="D10" s="461" t="s">
        <v>865</v>
      </c>
      <c r="E10" s="497">
        <f aca="true" t="shared" si="2" ref="E10:J10">E14+E18+E22</f>
        <v>48412</v>
      </c>
      <c r="F10" s="497">
        <f t="shared" si="2"/>
        <v>13165</v>
      </c>
      <c r="G10" s="497">
        <f t="shared" si="2"/>
        <v>21242</v>
      </c>
      <c r="H10" s="497">
        <f t="shared" si="2"/>
        <v>0</v>
      </c>
      <c r="I10" s="497">
        <f t="shared" si="2"/>
        <v>0</v>
      </c>
      <c r="J10" s="497">
        <f t="shared" si="2"/>
        <v>0</v>
      </c>
      <c r="K10" s="535">
        <f t="shared" si="1"/>
        <v>82819</v>
      </c>
      <c r="L10" s="497">
        <f aca="true" t="shared" si="3" ref="L10:P11">L14+L18+L22</f>
        <v>0</v>
      </c>
      <c r="M10" s="497">
        <f t="shared" si="3"/>
        <v>0</v>
      </c>
      <c r="N10" s="497">
        <f t="shared" si="3"/>
        <v>0</v>
      </c>
      <c r="O10" s="505">
        <f t="shared" si="3"/>
        <v>82819</v>
      </c>
      <c r="P10" s="817">
        <f t="shared" si="3"/>
        <v>27.5</v>
      </c>
    </row>
    <row r="11" spans="1:16" ht="11.25" customHeight="1">
      <c r="A11" s="496"/>
      <c r="B11" s="497"/>
      <c r="C11" s="498"/>
      <c r="D11" s="461" t="s">
        <v>866</v>
      </c>
      <c r="E11" s="497">
        <f aca="true" t="shared" si="4" ref="E11:J11">E15+E19+E23</f>
        <v>47778</v>
      </c>
      <c r="F11" s="497">
        <f t="shared" si="4"/>
        <v>12764</v>
      </c>
      <c r="G11" s="497">
        <f t="shared" si="4"/>
        <v>19041</v>
      </c>
      <c r="H11" s="497">
        <f t="shared" si="4"/>
        <v>0</v>
      </c>
      <c r="I11" s="497">
        <f t="shared" si="4"/>
        <v>0</v>
      </c>
      <c r="J11" s="497">
        <f t="shared" si="4"/>
        <v>0</v>
      </c>
      <c r="K11" s="535">
        <f t="shared" si="1"/>
        <v>79583</v>
      </c>
      <c r="L11" s="497">
        <f t="shared" si="3"/>
        <v>0</v>
      </c>
      <c r="M11" s="497">
        <f t="shared" si="3"/>
        <v>0</v>
      </c>
      <c r="N11" s="497">
        <f t="shared" si="3"/>
        <v>0</v>
      </c>
      <c r="O11" s="505">
        <f>O15+O19+O23</f>
        <v>79583</v>
      </c>
      <c r="P11" s="817">
        <f t="shared" si="3"/>
        <v>24</v>
      </c>
    </row>
    <row r="12" spans="1:16" s="56" customFormat="1" ht="12.75" customHeight="1">
      <c r="A12" s="496"/>
      <c r="B12" s="503" t="s">
        <v>316</v>
      </c>
      <c r="C12" s="498" t="s">
        <v>631</v>
      </c>
      <c r="D12" s="685" t="s">
        <v>872</v>
      </c>
      <c r="E12" s="497"/>
      <c r="F12" s="502"/>
      <c r="G12" s="497"/>
      <c r="H12" s="502"/>
      <c r="I12" s="498"/>
      <c r="J12" s="502"/>
      <c r="K12" s="535"/>
      <c r="L12" s="502"/>
      <c r="M12" s="502"/>
      <c r="N12" s="502"/>
      <c r="O12" s="505"/>
      <c r="P12" s="506"/>
    </row>
    <row r="13" spans="1:16" s="56" customFormat="1" ht="10.5" customHeight="1">
      <c r="A13" s="496"/>
      <c r="B13" s="503"/>
      <c r="C13" s="498"/>
      <c r="D13" s="461" t="s">
        <v>864</v>
      </c>
      <c r="E13" s="497">
        <v>46749</v>
      </c>
      <c r="F13" s="502">
        <v>12430</v>
      </c>
      <c r="G13" s="497">
        <v>17913</v>
      </c>
      <c r="H13" s="502"/>
      <c r="I13" s="498"/>
      <c r="J13" s="502"/>
      <c r="K13" s="501">
        <f t="shared" si="1"/>
        <v>77092</v>
      </c>
      <c r="L13" s="502"/>
      <c r="M13" s="502"/>
      <c r="N13" s="502"/>
      <c r="O13" s="497">
        <f>SUM(K13:N13)</f>
        <v>77092</v>
      </c>
      <c r="P13" s="506">
        <v>24.7</v>
      </c>
    </row>
    <row r="14" spans="1:16" s="56" customFormat="1" ht="10.5" customHeight="1">
      <c r="A14" s="496"/>
      <c r="B14" s="503"/>
      <c r="C14" s="498"/>
      <c r="D14" s="461" t="s">
        <v>865</v>
      </c>
      <c r="E14" s="497">
        <v>45502</v>
      </c>
      <c r="F14" s="502">
        <v>12416</v>
      </c>
      <c r="G14" s="497">
        <v>19909</v>
      </c>
      <c r="H14" s="502"/>
      <c r="I14" s="498"/>
      <c r="J14" s="502"/>
      <c r="K14" s="501">
        <f t="shared" si="1"/>
        <v>77827</v>
      </c>
      <c r="L14" s="502"/>
      <c r="M14" s="502"/>
      <c r="N14" s="502"/>
      <c r="O14" s="497">
        <f aca="true" t="shared" si="5" ref="O14:O63">SUM(K14:N14)</f>
        <v>77827</v>
      </c>
      <c r="P14" s="506">
        <v>24.7</v>
      </c>
    </row>
    <row r="15" spans="1:16" s="56" customFormat="1" ht="10.5" customHeight="1">
      <c r="A15" s="496"/>
      <c r="B15" s="503"/>
      <c r="C15" s="498"/>
      <c r="D15" s="461" t="s">
        <v>866</v>
      </c>
      <c r="E15" s="497">
        <f>47778-E19-E23</f>
        <v>45034</v>
      </c>
      <c r="F15" s="502">
        <f>12764-F19-F23</f>
        <v>12059</v>
      </c>
      <c r="G15" s="497">
        <f>19041-G19-G23</f>
        <v>18943</v>
      </c>
      <c r="H15" s="502"/>
      <c r="I15" s="498"/>
      <c r="J15" s="502"/>
      <c r="K15" s="501">
        <f t="shared" si="1"/>
        <v>76036</v>
      </c>
      <c r="L15" s="502"/>
      <c r="M15" s="502"/>
      <c r="N15" s="502"/>
      <c r="O15" s="497">
        <f t="shared" si="5"/>
        <v>76036</v>
      </c>
      <c r="P15" s="506">
        <v>23</v>
      </c>
    </row>
    <row r="16" spans="1:16" s="56" customFormat="1" ht="11.25" customHeight="1">
      <c r="A16" s="496"/>
      <c r="B16" s="503" t="s">
        <v>318</v>
      </c>
      <c r="C16" s="498" t="s">
        <v>632</v>
      </c>
      <c r="D16" s="504" t="s">
        <v>873</v>
      </c>
      <c r="E16" s="497"/>
      <c r="F16" s="502"/>
      <c r="G16" s="497"/>
      <c r="H16" s="502"/>
      <c r="I16" s="498"/>
      <c r="J16" s="502"/>
      <c r="K16" s="501"/>
      <c r="L16" s="502"/>
      <c r="M16" s="502"/>
      <c r="N16" s="502"/>
      <c r="O16" s="497"/>
      <c r="P16" s="506"/>
    </row>
    <row r="17" spans="1:16" s="56" customFormat="1" ht="11.25" customHeight="1">
      <c r="A17" s="496"/>
      <c r="B17" s="503"/>
      <c r="C17" s="498"/>
      <c r="D17" s="461" t="s">
        <v>864</v>
      </c>
      <c r="E17" s="497">
        <v>4327</v>
      </c>
      <c r="F17" s="502">
        <v>1169</v>
      </c>
      <c r="G17" s="497">
        <v>540</v>
      </c>
      <c r="H17" s="502"/>
      <c r="I17" s="498"/>
      <c r="J17" s="502"/>
      <c r="K17" s="501">
        <f t="shared" si="1"/>
        <v>6036</v>
      </c>
      <c r="L17" s="502"/>
      <c r="M17" s="502"/>
      <c r="N17" s="502"/>
      <c r="O17" s="497">
        <f t="shared" si="5"/>
        <v>6036</v>
      </c>
      <c r="P17" s="506">
        <v>1.8</v>
      </c>
    </row>
    <row r="18" spans="1:16" s="56" customFormat="1" ht="11.25" customHeight="1">
      <c r="A18" s="496"/>
      <c r="B18" s="503"/>
      <c r="C18" s="498"/>
      <c r="D18" s="461" t="s">
        <v>865</v>
      </c>
      <c r="E18" s="497">
        <v>2641</v>
      </c>
      <c r="F18" s="502">
        <v>712</v>
      </c>
      <c r="G18" s="497">
        <v>1307</v>
      </c>
      <c r="H18" s="502"/>
      <c r="I18" s="498"/>
      <c r="J18" s="502"/>
      <c r="K18" s="501">
        <f t="shared" si="1"/>
        <v>4660</v>
      </c>
      <c r="L18" s="502"/>
      <c r="M18" s="502"/>
      <c r="N18" s="502"/>
      <c r="O18" s="497">
        <f t="shared" si="5"/>
        <v>4660</v>
      </c>
      <c r="P18" s="506">
        <v>1.8</v>
      </c>
    </row>
    <row r="19" spans="1:16" s="56" customFormat="1" ht="11.25" customHeight="1">
      <c r="A19" s="496"/>
      <c r="B19" s="503"/>
      <c r="C19" s="498"/>
      <c r="D19" s="461" t="s">
        <v>866</v>
      </c>
      <c r="E19" s="497">
        <f>2379+96</f>
        <v>2475</v>
      </c>
      <c r="F19" s="502">
        <v>669</v>
      </c>
      <c r="G19" s="497">
        <f>18+4+8+32+10</f>
        <v>72</v>
      </c>
      <c r="H19" s="502"/>
      <c r="I19" s="498"/>
      <c r="J19" s="502"/>
      <c r="K19" s="501">
        <f t="shared" si="1"/>
        <v>3216</v>
      </c>
      <c r="L19" s="502"/>
      <c r="M19" s="502"/>
      <c r="N19" s="502"/>
      <c r="O19" s="497">
        <f t="shared" si="5"/>
        <v>3216</v>
      </c>
      <c r="P19" s="506">
        <v>0</v>
      </c>
    </row>
    <row r="20" spans="1:16" s="56" customFormat="1" ht="11.25" customHeight="1">
      <c r="A20" s="496"/>
      <c r="B20" s="503" t="s">
        <v>319</v>
      </c>
      <c r="C20" s="498" t="s">
        <v>631</v>
      </c>
      <c r="D20" s="504" t="s">
        <v>874</v>
      </c>
      <c r="E20" s="497"/>
      <c r="F20" s="502"/>
      <c r="G20" s="497"/>
      <c r="H20" s="502"/>
      <c r="I20" s="498"/>
      <c r="J20" s="502"/>
      <c r="K20" s="501"/>
      <c r="L20" s="502"/>
      <c r="M20" s="502"/>
      <c r="N20" s="502"/>
      <c r="O20" s="497"/>
      <c r="P20" s="506"/>
    </row>
    <row r="21" spans="1:16" s="56" customFormat="1" ht="11.25" customHeight="1">
      <c r="A21" s="496"/>
      <c r="B21" s="503"/>
      <c r="C21" s="498"/>
      <c r="D21" s="461" t="s">
        <v>864</v>
      </c>
      <c r="E21" s="497">
        <v>0</v>
      </c>
      <c r="F21" s="502">
        <v>0</v>
      </c>
      <c r="G21" s="497">
        <v>0</v>
      </c>
      <c r="H21" s="502"/>
      <c r="I21" s="498"/>
      <c r="J21" s="502"/>
      <c r="K21" s="501">
        <f t="shared" si="1"/>
        <v>0</v>
      </c>
      <c r="L21" s="502"/>
      <c r="M21" s="502"/>
      <c r="N21" s="502"/>
      <c r="O21" s="497">
        <f t="shared" si="5"/>
        <v>0</v>
      </c>
      <c r="P21" s="506">
        <v>0</v>
      </c>
    </row>
    <row r="22" spans="1:16" s="56" customFormat="1" ht="11.25" customHeight="1">
      <c r="A22" s="496"/>
      <c r="B22" s="503"/>
      <c r="C22" s="498"/>
      <c r="D22" s="461" t="s">
        <v>865</v>
      </c>
      <c r="E22" s="497">
        <v>269</v>
      </c>
      <c r="F22" s="502">
        <v>37</v>
      </c>
      <c r="G22" s="497">
        <v>26</v>
      </c>
      <c r="H22" s="502"/>
      <c r="I22" s="498"/>
      <c r="J22" s="502"/>
      <c r="K22" s="501">
        <f t="shared" si="1"/>
        <v>332</v>
      </c>
      <c r="L22" s="502"/>
      <c r="M22" s="502"/>
      <c r="N22" s="502"/>
      <c r="O22" s="497">
        <f t="shared" si="5"/>
        <v>332</v>
      </c>
      <c r="P22" s="506">
        <v>1</v>
      </c>
    </row>
    <row r="23" spans="1:16" s="56" customFormat="1" ht="11.25" customHeight="1">
      <c r="A23" s="496"/>
      <c r="B23" s="503"/>
      <c r="C23" s="498"/>
      <c r="D23" s="461" t="s">
        <v>866</v>
      </c>
      <c r="E23" s="497">
        <v>269</v>
      </c>
      <c r="F23" s="502">
        <v>36</v>
      </c>
      <c r="G23" s="497">
        <v>26</v>
      </c>
      <c r="H23" s="502"/>
      <c r="I23" s="498"/>
      <c r="J23" s="502"/>
      <c r="K23" s="501">
        <f t="shared" si="1"/>
        <v>331</v>
      </c>
      <c r="L23" s="502"/>
      <c r="M23" s="502"/>
      <c r="N23" s="502"/>
      <c r="O23" s="497">
        <f t="shared" si="5"/>
        <v>331</v>
      </c>
      <c r="P23" s="506">
        <v>1</v>
      </c>
    </row>
    <row r="24" spans="1:16" ht="11.25" customHeight="1">
      <c r="A24" s="496" t="s">
        <v>318</v>
      </c>
      <c r="B24" s="503"/>
      <c r="C24" s="498" t="s">
        <v>632</v>
      </c>
      <c r="D24" s="499" t="s">
        <v>472</v>
      </c>
      <c r="E24" s="502"/>
      <c r="F24" s="502"/>
      <c r="G24" s="497"/>
      <c r="H24" s="502"/>
      <c r="I24" s="498"/>
      <c r="J24" s="502"/>
      <c r="K24" s="535"/>
      <c r="L24" s="502"/>
      <c r="M24" s="502"/>
      <c r="N24" s="502"/>
      <c r="O24" s="505"/>
      <c r="P24" s="506"/>
    </row>
    <row r="25" spans="1:16" ht="11.25" customHeight="1">
      <c r="A25" s="496"/>
      <c r="B25" s="503"/>
      <c r="C25" s="498"/>
      <c r="D25" s="461" t="s">
        <v>864</v>
      </c>
      <c r="E25" s="502">
        <v>62115</v>
      </c>
      <c r="F25" s="502">
        <v>16354</v>
      </c>
      <c r="G25" s="497">
        <v>7657</v>
      </c>
      <c r="H25" s="502"/>
      <c r="I25" s="498"/>
      <c r="J25" s="502"/>
      <c r="K25" s="535">
        <f t="shared" si="1"/>
        <v>86126</v>
      </c>
      <c r="L25" s="502"/>
      <c r="M25" s="502"/>
      <c r="N25" s="502"/>
      <c r="O25" s="505">
        <f t="shared" si="5"/>
        <v>86126</v>
      </c>
      <c r="P25" s="506">
        <v>35.1</v>
      </c>
    </row>
    <row r="26" spans="1:16" ht="11.25" customHeight="1">
      <c r="A26" s="496"/>
      <c r="B26" s="503"/>
      <c r="C26" s="498"/>
      <c r="D26" s="461" t="s">
        <v>865</v>
      </c>
      <c r="E26" s="502">
        <v>64820</v>
      </c>
      <c r="F26" s="502">
        <v>17118</v>
      </c>
      <c r="G26" s="497">
        <v>7801</v>
      </c>
      <c r="H26" s="502"/>
      <c r="I26" s="498"/>
      <c r="J26" s="502"/>
      <c r="K26" s="535">
        <f t="shared" si="1"/>
        <v>89739</v>
      </c>
      <c r="L26" s="502">
        <v>415</v>
      </c>
      <c r="M26" s="502"/>
      <c r="N26" s="502"/>
      <c r="O26" s="505">
        <f t="shared" si="5"/>
        <v>90154</v>
      </c>
      <c r="P26" s="506">
        <v>35.1</v>
      </c>
    </row>
    <row r="27" spans="1:16" ht="11.25" customHeight="1">
      <c r="A27" s="496"/>
      <c r="B27" s="503"/>
      <c r="C27" s="498"/>
      <c r="D27" s="461" t="s">
        <v>866</v>
      </c>
      <c r="E27" s="502">
        <v>62581</v>
      </c>
      <c r="F27" s="502">
        <v>16535</v>
      </c>
      <c r="G27" s="497">
        <v>6608</v>
      </c>
      <c r="H27" s="502"/>
      <c r="I27" s="498"/>
      <c r="J27" s="502"/>
      <c r="K27" s="535">
        <f t="shared" si="1"/>
        <v>85724</v>
      </c>
      <c r="L27" s="502">
        <v>300</v>
      </c>
      <c r="M27" s="502"/>
      <c r="N27" s="502"/>
      <c r="O27" s="505">
        <f t="shared" si="5"/>
        <v>86024</v>
      </c>
      <c r="P27" s="506">
        <v>23</v>
      </c>
    </row>
    <row r="28" spans="1:16" ht="11.25" customHeight="1">
      <c r="A28" s="496" t="s">
        <v>319</v>
      </c>
      <c r="B28" s="503"/>
      <c r="C28" s="498"/>
      <c r="D28" s="499" t="s">
        <v>828</v>
      </c>
      <c r="E28" s="502"/>
      <c r="F28" s="502"/>
      <c r="G28" s="502"/>
      <c r="H28" s="502"/>
      <c r="I28" s="498"/>
      <c r="J28" s="502"/>
      <c r="K28" s="535"/>
      <c r="L28" s="502"/>
      <c r="M28" s="502"/>
      <c r="N28" s="502"/>
      <c r="O28" s="505"/>
      <c r="P28" s="506"/>
    </row>
    <row r="29" spans="1:16" ht="11.25" customHeight="1">
      <c r="A29" s="496"/>
      <c r="B29" s="503"/>
      <c r="C29" s="498"/>
      <c r="D29" s="461" t="s">
        <v>864</v>
      </c>
      <c r="E29" s="502">
        <f>E33+E37</f>
        <v>11826</v>
      </c>
      <c r="F29" s="502">
        <f aca="true" t="shared" si="6" ref="F29:N29">F33+F37</f>
        <v>2986</v>
      </c>
      <c r="G29" s="502">
        <f t="shared" si="6"/>
        <v>6099</v>
      </c>
      <c r="H29" s="502">
        <f t="shared" si="6"/>
        <v>0</v>
      </c>
      <c r="I29" s="502">
        <f t="shared" si="6"/>
        <v>0</v>
      </c>
      <c r="J29" s="502">
        <f t="shared" si="6"/>
        <v>0</v>
      </c>
      <c r="K29" s="616">
        <f t="shared" si="6"/>
        <v>20911</v>
      </c>
      <c r="L29" s="502">
        <f t="shared" si="6"/>
        <v>0</v>
      </c>
      <c r="M29" s="502">
        <f t="shared" si="6"/>
        <v>0</v>
      </c>
      <c r="N29" s="502">
        <f t="shared" si="6"/>
        <v>0</v>
      </c>
      <c r="O29" s="505">
        <f t="shared" si="5"/>
        <v>20911</v>
      </c>
      <c r="P29" s="506">
        <f>P33+P37</f>
        <v>7</v>
      </c>
    </row>
    <row r="30" spans="1:16" ht="11.25" customHeight="1">
      <c r="A30" s="496"/>
      <c r="B30" s="503"/>
      <c r="C30" s="498"/>
      <c r="D30" s="461" t="s">
        <v>865</v>
      </c>
      <c r="E30" s="502">
        <f aca="true" t="shared" si="7" ref="E30:N31">E34+E38</f>
        <v>12687</v>
      </c>
      <c r="F30" s="502">
        <f t="shared" si="7"/>
        <v>3230</v>
      </c>
      <c r="G30" s="502">
        <f t="shared" si="7"/>
        <v>7193</v>
      </c>
      <c r="H30" s="502">
        <f t="shared" si="7"/>
        <v>0</v>
      </c>
      <c r="I30" s="502">
        <f t="shared" si="7"/>
        <v>0</v>
      </c>
      <c r="J30" s="502">
        <f t="shared" si="7"/>
        <v>0</v>
      </c>
      <c r="K30" s="616">
        <f t="shared" si="7"/>
        <v>23110</v>
      </c>
      <c r="L30" s="502">
        <f t="shared" si="7"/>
        <v>180</v>
      </c>
      <c r="M30" s="502">
        <f t="shared" si="7"/>
        <v>0</v>
      </c>
      <c r="N30" s="502">
        <f t="shared" si="7"/>
        <v>0</v>
      </c>
      <c r="O30" s="505">
        <f t="shared" si="5"/>
        <v>23290</v>
      </c>
      <c r="P30" s="506">
        <f>P34+P38</f>
        <v>7</v>
      </c>
    </row>
    <row r="31" spans="1:16" ht="11.25" customHeight="1">
      <c r="A31" s="496"/>
      <c r="B31" s="503"/>
      <c r="C31" s="498"/>
      <c r="D31" s="461" t="s">
        <v>866</v>
      </c>
      <c r="E31" s="502">
        <f t="shared" si="7"/>
        <v>11834</v>
      </c>
      <c r="F31" s="502">
        <f t="shared" si="7"/>
        <v>3112</v>
      </c>
      <c r="G31" s="502">
        <f t="shared" si="7"/>
        <v>6354</v>
      </c>
      <c r="H31" s="502">
        <f t="shared" si="7"/>
        <v>0</v>
      </c>
      <c r="I31" s="502">
        <f t="shared" si="7"/>
        <v>0</v>
      </c>
      <c r="J31" s="502">
        <f t="shared" si="7"/>
        <v>0</v>
      </c>
      <c r="K31" s="616">
        <f t="shared" si="7"/>
        <v>21300</v>
      </c>
      <c r="L31" s="502">
        <f t="shared" si="7"/>
        <v>180</v>
      </c>
      <c r="M31" s="502">
        <f t="shared" si="7"/>
        <v>0</v>
      </c>
      <c r="N31" s="502">
        <f t="shared" si="7"/>
        <v>0</v>
      </c>
      <c r="O31" s="505">
        <f t="shared" si="5"/>
        <v>21480</v>
      </c>
      <c r="P31" s="506">
        <f>P35+P39</f>
        <v>7</v>
      </c>
    </row>
    <row r="32" spans="1:16" s="56" customFormat="1" ht="11.25" customHeight="1">
      <c r="A32" s="496"/>
      <c r="B32" s="503" t="s">
        <v>316</v>
      </c>
      <c r="C32" s="498" t="s">
        <v>631</v>
      </c>
      <c r="D32" s="685" t="s">
        <v>872</v>
      </c>
      <c r="E32" s="502"/>
      <c r="F32" s="502"/>
      <c r="G32" s="497"/>
      <c r="H32" s="502"/>
      <c r="I32" s="498"/>
      <c r="J32" s="502"/>
      <c r="K32" s="535"/>
      <c r="L32" s="502"/>
      <c r="M32" s="502"/>
      <c r="N32" s="502"/>
      <c r="O32" s="505"/>
      <c r="P32" s="506"/>
    </row>
    <row r="33" spans="1:16" s="56" customFormat="1" ht="11.25" customHeight="1">
      <c r="A33" s="496"/>
      <c r="B33" s="503"/>
      <c r="C33" s="498"/>
      <c r="D33" s="461" t="s">
        <v>864</v>
      </c>
      <c r="E33" s="502">
        <v>8408</v>
      </c>
      <c r="F33" s="502">
        <v>2198</v>
      </c>
      <c r="G33" s="497">
        <v>5319</v>
      </c>
      <c r="H33" s="502"/>
      <c r="I33" s="498"/>
      <c r="J33" s="502"/>
      <c r="K33" s="501">
        <f t="shared" si="1"/>
        <v>15925</v>
      </c>
      <c r="L33" s="502"/>
      <c r="M33" s="502"/>
      <c r="N33" s="502"/>
      <c r="O33" s="497">
        <f t="shared" si="5"/>
        <v>15925</v>
      </c>
      <c r="P33" s="506">
        <v>6</v>
      </c>
    </row>
    <row r="34" spans="1:16" s="56" customFormat="1" ht="11.25" customHeight="1">
      <c r="A34" s="496"/>
      <c r="B34" s="503"/>
      <c r="C34" s="498"/>
      <c r="D34" s="461" t="s">
        <v>865</v>
      </c>
      <c r="E34" s="502">
        <v>9173</v>
      </c>
      <c r="F34" s="502">
        <v>2416</v>
      </c>
      <c r="G34" s="497">
        <v>6413</v>
      </c>
      <c r="H34" s="502"/>
      <c r="I34" s="498"/>
      <c r="J34" s="502"/>
      <c r="K34" s="501">
        <f t="shared" si="1"/>
        <v>18002</v>
      </c>
      <c r="L34" s="502">
        <v>180</v>
      </c>
      <c r="M34" s="502"/>
      <c r="N34" s="502"/>
      <c r="O34" s="497">
        <f t="shared" si="5"/>
        <v>18182</v>
      </c>
      <c r="P34" s="506">
        <v>6</v>
      </c>
    </row>
    <row r="35" spans="1:16" s="56" customFormat="1" ht="11.25" customHeight="1">
      <c r="A35" s="496"/>
      <c r="B35" s="503"/>
      <c r="C35" s="498"/>
      <c r="D35" s="461" t="s">
        <v>866</v>
      </c>
      <c r="E35" s="502">
        <f>11834-2917</f>
        <v>8917</v>
      </c>
      <c r="F35" s="502">
        <f>3112-749</f>
        <v>2363</v>
      </c>
      <c r="G35" s="497">
        <f>6354-721</f>
        <v>5633</v>
      </c>
      <c r="H35" s="502"/>
      <c r="I35" s="498"/>
      <c r="J35" s="502"/>
      <c r="K35" s="501">
        <f t="shared" si="1"/>
        <v>16913</v>
      </c>
      <c r="L35" s="502">
        <v>180</v>
      </c>
      <c r="M35" s="502"/>
      <c r="N35" s="502"/>
      <c r="O35" s="497">
        <f t="shared" si="5"/>
        <v>17093</v>
      </c>
      <c r="P35" s="506">
        <v>6</v>
      </c>
    </row>
    <row r="36" spans="1:16" s="56" customFormat="1" ht="11.25" customHeight="1">
      <c r="A36" s="496"/>
      <c r="B36" s="503" t="s">
        <v>318</v>
      </c>
      <c r="C36" s="498" t="s">
        <v>632</v>
      </c>
      <c r="D36" s="504" t="s">
        <v>883</v>
      </c>
      <c r="E36" s="502"/>
      <c r="F36" s="502"/>
      <c r="G36" s="497"/>
      <c r="H36" s="502"/>
      <c r="I36" s="498"/>
      <c r="J36" s="502"/>
      <c r="K36" s="501"/>
      <c r="L36" s="502"/>
      <c r="M36" s="502"/>
      <c r="N36" s="502"/>
      <c r="O36" s="497"/>
      <c r="P36" s="506"/>
    </row>
    <row r="37" spans="1:16" s="56" customFormat="1" ht="11.25" customHeight="1">
      <c r="A37" s="496"/>
      <c r="B37" s="503"/>
      <c r="C37" s="498"/>
      <c r="D37" s="461" t="s">
        <v>864</v>
      </c>
      <c r="E37" s="502">
        <v>3418</v>
      </c>
      <c r="F37" s="502">
        <v>788</v>
      </c>
      <c r="G37" s="497">
        <v>780</v>
      </c>
      <c r="H37" s="502"/>
      <c r="I37" s="498"/>
      <c r="J37" s="502"/>
      <c r="K37" s="501">
        <f t="shared" si="1"/>
        <v>4986</v>
      </c>
      <c r="L37" s="502"/>
      <c r="M37" s="502"/>
      <c r="N37" s="502"/>
      <c r="O37" s="497">
        <f t="shared" si="5"/>
        <v>4986</v>
      </c>
      <c r="P37" s="506">
        <v>1</v>
      </c>
    </row>
    <row r="38" spans="1:16" s="56" customFormat="1" ht="11.25" customHeight="1">
      <c r="A38" s="496"/>
      <c r="B38" s="503"/>
      <c r="C38" s="498"/>
      <c r="D38" s="461" t="s">
        <v>865</v>
      </c>
      <c r="E38" s="502">
        <v>3514</v>
      </c>
      <c r="F38" s="502">
        <v>814</v>
      </c>
      <c r="G38" s="497">
        <v>780</v>
      </c>
      <c r="H38" s="502"/>
      <c r="I38" s="498"/>
      <c r="J38" s="502"/>
      <c r="K38" s="501">
        <f t="shared" si="1"/>
        <v>5108</v>
      </c>
      <c r="L38" s="502"/>
      <c r="M38" s="502"/>
      <c r="N38" s="502"/>
      <c r="O38" s="497">
        <f t="shared" si="5"/>
        <v>5108</v>
      </c>
      <c r="P38" s="506">
        <v>1</v>
      </c>
    </row>
    <row r="39" spans="1:16" s="56" customFormat="1" ht="11.25" customHeight="1">
      <c r="A39" s="496"/>
      <c r="B39" s="503"/>
      <c r="C39" s="498"/>
      <c r="D39" s="461" t="s">
        <v>866</v>
      </c>
      <c r="E39" s="502">
        <f>1173+161+1173+410</f>
        <v>2917</v>
      </c>
      <c r="F39" s="502">
        <f>336+413</f>
        <v>749</v>
      </c>
      <c r="G39" s="497">
        <f>58+16+644+3</f>
        <v>721</v>
      </c>
      <c r="H39" s="502"/>
      <c r="I39" s="498"/>
      <c r="J39" s="502"/>
      <c r="K39" s="501">
        <f t="shared" si="1"/>
        <v>4387</v>
      </c>
      <c r="L39" s="502"/>
      <c r="M39" s="502"/>
      <c r="N39" s="502"/>
      <c r="O39" s="497">
        <f t="shared" si="5"/>
        <v>4387</v>
      </c>
      <c r="P39" s="506">
        <v>1</v>
      </c>
    </row>
    <row r="40" spans="1:16" ht="11.25" customHeight="1">
      <c r="A40" s="496" t="s">
        <v>321</v>
      </c>
      <c r="B40" s="503"/>
      <c r="C40" s="498"/>
      <c r="D40" s="499" t="s">
        <v>469</v>
      </c>
      <c r="E40" s="502"/>
      <c r="F40" s="502"/>
      <c r="G40" s="502"/>
      <c r="H40" s="502"/>
      <c r="I40" s="502"/>
      <c r="J40" s="502"/>
      <c r="K40" s="535"/>
      <c r="L40" s="502"/>
      <c r="M40" s="502"/>
      <c r="N40" s="502"/>
      <c r="O40" s="505"/>
      <c r="P40" s="506"/>
    </row>
    <row r="41" spans="1:16" ht="11.25" customHeight="1">
      <c r="A41" s="496"/>
      <c r="B41" s="503"/>
      <c r="C41" s="498"/>
      <c r="D41" s="461" t="s">
        <v>864</v>
      </c>
      <c r="E41" s="502">
        <f>E45+E49</f>
        <v>16157</v>
      </c>
      <c r="F41" s="502">
        <f aca="true" t="shared" si="8" ref="F41:O41">F45+F49</f>
        <v>4260</v>
      </c>
      <c r="G41" s="502">
        <f t="shared" si="8"/>
        <v>7118</v>
      </c>
      <c r="H41" s="502">
        <f t="shared" si="8"/>
        <v>0</v>
      </c>
      <c r="I41" s="502">
        <f t="shared" si="8"/>
        <v>0</v>
      </c>
      <c r="J41" s="502">
        <f t="shared" si="8"/>
        <v>0</v>
      </c>
      <c r="K41" s="616">
        <f t="shared" si="8"/>
        <v>27535</v>
      </c>
      <c r="L41" s="502">
        <f t="shared" si="8"/>
        <v>0</v>
      </c>
      <c r="M41" s="502">
        <f t="shared" si="8"/>
        <v>0</v>
      </c>
      <c r="N41" s="502">
        <f t="shared" si="8"/>
        <v>0</v>
      </c>
      <c r="O41" s="616">
        <f t="shared" si="8"/>
        <v>27535</v>
      </c>
      <c r="P41" s="506">
        <f>P45+P49</f>
        <v>9</v>
      </c>
    </row>
    <row r="42" spans="1:16" ht="11.25" customHeight="1">
      <c r="A42" s="496"/>
      <c r="B42" s="503"/>
      <c r="C42" s="498"/>
      <c r="D42" s="461" t="s">
        <v>865</v>
      </c>
      <c r="E42" s="502">
        <f aca="true" t="shared" si="9" ref="E42:O43">E46+E50</f>
        <v>18128</v>
      </c>
      <c r="F42" s="502">
        <f t="shared" si="9"/>
        <v>4809</v>
      </c>
      <c r="G42" s="502">
        <f t="shared" si="9"/>
        <v>8673</v>
      </c>
      <c r="H42" s="502">
        <f t="shared" si="9"/>
        <v>0</v>
      </c>
      <c r="I42" s="502">
        <f t="shared" si="9"/>
        <v>0</v>
      </c>
      <c r="J42" s="502">
        <f t="shared" si="9"/>
        <v>0</v>
      </c>
      <c r="K42" s="616">
        <f t="shared" si="9"/>
        <v>31610</v>
      </c>
      <c r="L42" s="502">
        <f t="shared" si="9"/>
        <v>0</v>
      </c>
      <c r="M42" s="502">
        <f t="shared" si="9"/>
        <v>0</v>
      </c>
      <c r="N42" s="502">
        <f t="shared" si="9"/>
        <v>0</v>
      </c>
      <c r="O42" s="616">
        <f t="shared" si="9"/>
        <v>31610</v>
      </c>
      <c r="P42" s="506">
        <f>P46+P50</f>
        <v>10</v>
      </c>
    </row>
    <row r="43" spans="1:16" ht="11.25" customHeight="1">
      <c r="A43" s="496"/>
      <c r="B43" s="503"/>
      <c r="C43" s="498"/>
      <c r="D43" s="461" t="s">
        <v>866</v>
      </c>
      <c r="E43" s="502">
        <f t="shared" si="9"/>
        <v>17618</v>
      </c>
      <c r="F43" s="502">
        <f t="shared" si="9"/>
        <v>4566</v>
      </c>
      <c r="G43" s="502">
        <f t="shared" si="9"/>
        <v>7623</v>
      </c>
      <c r="H43" s="502">
        <f t="shared" si="9"/>
        <v>0</v>
      </c>
      <c r="I43" s="502">
        <f t="shared" si="9"/>
        <v>0</v>
      </c>
      <c r="J43" s="502">
        <f t="shared" si="9"/>
        <v>0</v>
      </c>
      <c r="K43" s="616">
        <f t="shared" si="9"/>
        <v>29807</v>
      </c>
      <c r="L43" s="502">
        <f t="shared" si="9"/>
        <v>0</v>
      </c>
      <c r="M43" s="502">
        <f t="shared" si="9"/>
        <v>0</v>
      </c>
      <c r="N43" s="502">
        <f t="shared" si="9"/>
        <v>0</v>
      </c>
      <c r="O43" s="616">
        <f t="shared" si="9"/>
        <v>29807</v>
      </c>
      <c r="P43" s="506">
        <f>P47+P51</f>
        <v>9</v>
      </c>
    </row>
    <row r="44" spans="1:16" s="56" customFormat="1" ht="11.25" customHeight="1">
      <c r="A44" s="496" t="s">
        <v>446</v>
      </c>
      <c r="B44" s="503" t="s">
        <v>316</v>
      </c>
      <c r="C44" s="498" t="s">
        <v>631</v>
      </c>
      <c r="D44" s="685" t="s">
        <v>872</v>
      </c>
      <c r="E44" s="502"/>
      <c r="F44" s="502"/>
      <c r="G44" s="497"/>
      <c r="H44" s="502"/>
      <c r="I44" s="498"/>
      <c r="J44" s="502"/>
      <c r="K44" s="535"/>
      <c r="L44" s="502"/>
      <c r="M44" s="502"/>
      <c r="N44" s="502"/>
      <c r="O44" s="505"/>
      <c r="P44" s="506"/>
    </row>
    <row r="45" spans="1:16" s="56" customFormat="1" ht="11.25" customHeight="1">
      <c r="A45" s="496"/>
      <c r="B45" s="503"/>
      <c r="C45" s="498"/>
      <c r="D45" s="461" t="s">
        <v>864</v>
      </c>
      <c r="E45" s="502">
        <v>16157</v>
      </c>
      <c r="F45" s="502">
        <v>4260</v>
      </c>
      <c r="G45" s="497">
        <v>7118</v>
      </c>
      <c r="H45" s="502"/>
      <c r="I45" s="498"/>
      <c r="J45" s="502"/>
      <c r="K45" s="501">
        <f t="shared" si="1"/>
        <v>27535</v>
      </c>
      <c r="L45" s="502"/>
      <c r="M45" s="502"/>
      <c r="N45" s="502"/>
      <c r="O45" s="497">
        <f t="shared" si="5"/>
        <v>27535</v>
      </c>
      <c r="P45" s="506">
        <v>9</v>
      </c>
    </row>
    <row r="46" spans="1:16" s="56" customFormat="1" ht="11.25" customHeight="1">
      <c r="A46" s="496"/>
      <c r="B46" s="503"/>
      <c r="C46" s="498"/>
      <c r="D46" s="461" t="s">
        <v>865</v>
      </c>
      <c r="E46" s="502">
        <v>17507</v>
      </c>
      <c r="F46" s="502">
        <v>4642</v>
      </c>
      <c r="G46" s="497">
        <v>8636</v>
      </c>
      <c r="H46" s="502"/>
      <c r="I46" s="498"/>
      <c r="J46" s="502"/>
      <c r="K46" s="501">
        <f t="shared" si="1"/>
        <v>30785</v>
      </c>
      <c r="L46" s="502"/>
      <c r="M46" s="502"/>
      <c r="N46" s="502"/>
      <c r="O46" s="497">
        <f t="shared" si="5"/>
        <v>30785</v>
      </c>
      <c r="P46" s="506">
        <v>9</v>
      </c>
    </row>
    <row r="47" spans="1:16" s="56" customFormat="1" ht="11.25" customHeight="1">
      <c r="A47" s="496"/>
      <c r="B47" s="503"/>
      <c r="C47" s="498"/>
      <c r="D47" s="461" t="s">
        <v>866</v>
      </c>
      <c r="E47" s="502">
        <f>17618-345</f>
        <v>17273</v>
      </c>
      <c r="F47" s="502">
        <f>4566-46</f>
        <v>4520</v>
      </c>
      <c r="G47" s="497">
        <f>7623-36</f>
        <v>7587</v>
      </c>
      <c r="H47" s="502"/>
      <c r="I47" s="498"/>
      <c r="J47" s="502"/>
      <c r="K47" s="501">
        <f t="shared" si="1"/>
        <v>29380</v>
      </c>
      <c r="L47" s="502"/>
      <c r="M47" s="502"/>
      <c r="N47" s="502"/>
      <c r="O47" s="497">
        <f t="shared" si="5"/>
        <v>29380</v>
      </c>
      <c r="P47" s="506">
        <v>8</v>
      </c>
    </row>
    <row r="48" spans="1:16" s="56" customFormat="1" ht="11.25" customHeight="1">
      <c r="A48" s="496"/>
      <c r="B48" s="503" t="s">
        <v>318</v>
      </c>
      <c r="C48" s="498" t="s">
        <v>631</v>
      </c>
      <c r="D48" s="504" t="s">
        <v>874</v>
      </c>
      <c r="E48" s="502"/>
      <c r="F48" s="502"/>
      <c r="G48" s="497"/>
      <c r="H48" s="502"/>
      <c r="I48" s="498"/>
      <c r="J48" s="502"/>
      <c r="K48" s="501"/>
      <c r="L48" s="502"/>
      <c r="M48" s="502"/>
      <c r="N48" s="502"/>
      <c r="O48" s="497"/>
      <c r="P48" s="507"/>
    </row>
    <row r="49" spans="1:16" s="56" customFormat="1" ht="11.25" customHeight="1">
      <c r="A49" s="496"/>
      <c r="B49" s="503"/>
      <c r="C49" s="498"/>
      <c r="D49" s="461" t="s">
        <v>864</v>
      </c>
      <c r="E49" s="502">
        <v>0</v>
      </c>
      <c r="F49" s="502">
        <v>0</v>
      </c>
      <c r="G49" s="497">
        <v>0</v>
      </c>
      <c r="H49" s="502"/>
      <c r="I49" s="498"/>
      <c r="J49" s="502"/>
      <c r="K49" s="501">
        <f t="shared" si="1"/>
        <v>0</v>
      </c>
      <c r="L49" s="502"/>
      <c r="M49" s="502"/>
      <c r="N49" s="502"/>
      <c r="O49" s="497">
        <f t="shared" si="5"/>
        <v>0</v>
      </c>
      <c r="P49" s="506">
        <v>0</v>
      </c>
    </row>
    <row r="50" spans="1:16" s="56" customFormat="1" ht="11.25" customHeight="1">
      <c r="A50" s="496"/>
      <c r="B50" s="503"/>
      <c r="C50" s="498"/>
      <c r="D50" s="461" t="s">
        <v>865</v>
      </c>
      <c r="E50" s="502">
        <v>621</v>
      </c>
      <c r="F50" s="502">
        <v>167</v>
      </c>
      <c r="G50" s="497">
        <v>37</v>
      </c>
      <c r="H50" s="502"/>
      <c r="I50" s="498"/>
      <c r="J50" s="502"/>
      <c r="K50" s="501">
        <f t="shared" si="1"/>
        <v>825</v>
      </c>
      <c r="L50" s="502"/>
      <c r="M50" s="502"/>
      <c r="N50" s="502"/>
      <c r="O50" s="497">
        <f t="shared" si="5"/>
        <v>825</v>
      </c>
      <c r="P50" s="506">
        <v>1</v>
      </c>
    </row>
    <row r="51" spans="1:16" s="56" customFormat="1" ht="11.25" customHeight="1">
      <c r="A51" s="496"/>
      <c r="B51" s="503"/>
      <c r="C51" s="498"/>
      <c r="D51" s="461" t="s">
        <v>866</v>
      </c>
      <c r="E51" s="502">
        <v>345</v>
      </c>
      <c r="F51" s="502">
        <v>46</v>
      </c>
      <c r="G51" s="497">
        <v>36</v>
      </c>
      <c r="H51" s="502"/>
      <c r="I51" s="498"/>
      <c r="J51" s="502"/>
      <c r="K51" s="501">
        <f t="shared" si="1"/>
        <v>427</v>
      </c>
      <c r="L51" s="502"/>
      <c r="M51" s="502"/>
      <c r="N51" s="502"/>
      <c r="O51" s="497">
        <f t="shared" si="5"/>
        <v>427</v>
      </c>
      <c r="P51" s="506">
        <v>1</v>
      </c>
    </row>
    <row r="52" spans="1:16" ht="11.25" customHeight="1">
      <c r="A52" s="496" t="s">
        <v>322</v>
      </c>
      <c r="B52" s="503"/>
      <c r="C52" s="498"/>
      <c r="D52" s="499" t="s">
        <v>471</v>
      </c>
      <c r="E52" s="502"/>
      <c r="F52" s="502"/>
      <c r="G52" s="502"/>
      <c r="H52" s="502"/>
      <c r="I52" s="502"/>
      <c r="J52" s="502"/>
      <c r="K52" s="535"/>
      <c r="L52" s="502"/>
      <c r="M52" s="502"/>
      <c r="N52" s="502"/>
      <c r="O52" s="505"/>
      <c r="P52" s="506"/>
    </row>
    <row r="53" spans="1:16" ht="11.25" customHeight="1">
      <c r="A53" s="496"/>
      <c r="B53" s="503"/>
      <c r="C53" s="498"/>
      <c r="D53" s="461" t="s">
        <v>864</v>
      </c>
      <c r="E53" s="502">
        <f>E57+E61</f>
        <v>12917</v>
      </c>
      <c r="F53" s="502">
        <f aca="true" t="shared" si="10" ref="F53:O53">F57+F61</f>
        <v>3442</v>
      </c>
      <c r="G53" s="502">
        <f t="shared" si="10"/>
        <v>5078</v>
      </c>
      <c r="H53" s="502">
        <f t="shared" si="10"/>
        <v>0</v>
      </c>
      <c r="I53" s="502">
        <f t="shared" si="10"/>
        <v>0</v>
      </c>
      <c r="J53" s="502">
        <f t="shared" si="10"/>
        <v>0</v>
      </c>
      <c r="K53" s="616">
        <f t="shared" si="10"/>
        <v>21437</v>
      </c>
      <c r="L53" s="502">
        <f t="shared" si="10"/>
        <v>397</v>
      </c>
      <c r="M53" s="502">
        <f t="shared" si="10"/>
        <v>0</v>
      </c>
      <c r="N53" s="502">
        <f t="shared" si="10"/>
        <v>0</v>
      </c>
      <c r="O53" s="616">
        <f t="shared" si="10"/>
        <v>21834</v>
      </c>
      <c r="P53" s="506">
        <f>P57+P61</f>
        <v>6</v>
      </c>
    </row>
    <row r="54" spans="1:16" ht="11.25" customHeight="1">
      <c r="A54" s="496"/>
      <c r="B54" s="503"/>
      <c r="C54" s="498"/>
      <c r="D54" s="461" t="s">
        <v>865</v>
      </c>
      <c r="E54" s="502">
        <f aca="true" t="shared" si="11" ref="E54:O55">E58+E62</f>
        <v>14575</v>
      </c>
      <c r="F54" s="502">
        <f t="shared" si="11"/>
        <v>3761</v>
      </c>
      <c r="G54" s="502">
        <f t="shared" si="11"/>
        <v>6652</v>
      </c>
      <c r="H54" s="502">
        <f t="shared" si="11"/>
        <v>0</v>
      </c>
      <c r="I54" s="502">
        <f t="shared" si="11"/>
        <v>0</v>
      </c>
      <c r="J54" s="502">
        <f t="shared" si="11"/>
        <v>0</v>
      </c>
      <c r="K54" s="616">
        <f t="shared" si="11"/>
        <v>24988</v>
      </c>
      <c r="L54" s="502">
        <f t="shared" si="11"/>
        <v>397</v>
      </c>
      <c r="M54" s="502">
        <f t="shared" si="11"/>
        <v>0</v>
      </c>
      <c r="N54" s="502">
        <f t="shared" si="11"/>
        <v>0</v>
      </c>
      <c r="O54" s="616">
        <f t="shared" si="11"/>
        <v>25385</v>
      </c>
      <c r="P54" s="506">
        <f>P58+P62</f>
        <v>7</v>
      </c>
    </row>
    <row r="55" spans="1:16" ht="11.25" customHeight="1">
      <c r="A55" s="496"/>
      <c r="B55" s="503"/>
      <c r="C55" s="498"/>
      <c r="D55" s="461" t="s">
        <v>866</v>
      </c>
      <c r="E55" s="502">
        <f t="shared" si="11"/>
        <v>14337</v>
      </c>
      <c r="F55" s="502">
        <f t="shared" si="11"/>
        <v>3716</v>
      </c>
      <c r="G55" s="502">
        <f t="shared" si="11"/>
        <v>5425</v>
      </c>
      <c r="H55" s="502">
        <f t="shared" si="11"/>
        <v>0</v>
      </c>
      <c r="I55" s="502">
        <f t="shared" si="11"/>
        <v>0</v>
      </c>
      <c r="J55" s="502">
        <f t="shared" si="11"/>
        <v>0</v>
      </c>
      <c r="K55" s="616">
        <f t="shared" si="11"/>
        <v>23478</v>
      </c>
      <c r="L55" s="502">
        <f t="shared" si="11"/>
        <v>397</v>
      </c>
      <c r="M55" s="502">
        <f t="shared" si="11"/>
        <v>0</v>
      </c>
      <c r="N55" s="502">
        <f t="shared" si="11"/>
        <v>0</v>
      </c>
      <c r="O55" s="616">
        <f t="shared" si="11"/>
        <v>23875</v>
      </c>
      <c r="P55" s="506">
        <f>P59+P63</f>
        <v>7</v>
      </c>
    </row>
    <row r="56" spans="1:16" s="56" customFormat="1" ht="11.25" customHeight="1">
      <c r="A56" s="496" t="s">
        <v>446</v>
      </c>
      <c r="B56" s="503" t="s">
        <v>316</v>
      </c>
      <c r="C56" s="498" t="s">
        <v>632</v>
      </c>
      <c r="D56" s="685" t="s">
        <v>884</v>
      </c>
      <c r="E56" s="502"/>
      <c r="F56" s="502"/>
      <c r="G56" s="497"/>
      <c r="H56" s="502"/>
      <c r="I56" s="498"/>
      <c r="J56" s="502"/>
      <c r="K56" s="535"/>
      <c r="L56" s="502"/>
      <c r="M56" s="502"/>
      <c r="N56" s="502"/>
      <c r="O56" s="505"/>
      <c r="P56" s="506"/>
    </row>
    <row r="57" spans="1:16" s="56" customFormat="1" ht="11.25" customHeight="1">
      <c r="A57" s="491"/>
      <c r="B57" s="508"/>
      <c r="C57" s="509"/>
      <c r="D57" s="461" t="s">
        <v>864</v>
      </c>
      <c r="E57" s="510">
        <v>12917</v>
      </c>
      <c r="F57" s="510">
        <v>3442</v>
      </c>
      <c r="G57" s="511">
        <v>5078</v>
      </c>
      <c r="H57" s="510"/>
      <c r="I57" s="509"/>
      <c r="J57" s="510"/>
      <c r="K57" s="501">
        <f t="shared" si="1"/>
        <v>21437</v>
      </c>
      <c r="L57" s="510">
        <v>397</v>
      </c>
      <c r="M57" s="510"/>
      <c r="N57" s="510"/>
      <c r="O57" s="497">
        <f t="shared" si="5"/>
        <v>21834</v>
      </c>
      <c r="P57" s="512">
        <v>6</v>
      </c>
    </row>
    <row r="58" spans="1:16" s="56" customFormat="1" ht="11.25" customHeight="1">
      <c r="A58" s="513"/>
      <c r="B58" s="514"/>
      <c r="C58" s="515"/>
      <c r="D58" s="461" t="s">
        <v>865</v>
      </c>
      <c r="E58" s="501">
        <v>13540</v>
      </c>
      <c r="F58" s="501">
        <v>3621</v>
      </c>
      <c r="G58" s="516">
        <v>6478</v>
      </c>
      <c r="H58" s="501"/>
      <c r="I58" s="515"/>
      <c r="J58" s="501"/>
      <c r="K58" s="501">
        <f t="shared" si="1"/>
        <v>23639</v>
      </c>
      <c r="L58" s="501">
        <v>397</v>
      </c>
      <c r="M58" s="501"/>
      <c r="N58" s="501"/>
      <c r="O58" s="497">
        <f t="shared" si="5"/>
        <v>24036</v>
      </c>
      <c r="P58" s="507">
        <v>6</v>
      </c>
    </row>
    <row r="59" spans="1:16" s="56" customFormat="1" ht="11.25" customHeight="1">
      <c r="A59" s="513"/>
      <c r="B59" s="514"/>
      <c r="C59" s="515"/>
      <c r="D59" s="461" t="s">
        <v>866</v>
      </c>
      <c r="E59" s="501">
        <f>14337-966</f>
        <v>13371</v>
      </c>
      <c r="F59" s="501">
        <f>3716-130</f>
        <v>3586</v>
      </c>
      <c r="G59" s="516">
        <f>5425-132</f>
        <v>5293</v>
      </c>
      <c r="H59" s="501"/>
      <c r="I59" s="515"/>
      <c r="J59" s="501"/>
      <c r="K59" s="501">
        <f t="shared" si="1"/>
        <v>22250</v>
      </c>
      <c r="L59" s="501">
        <v>397</v>
      </c>
      <c r="M59" s="501"/>
      <c r="N59" s="501"/>
      <c r="O59" s="497">
        <f t="shared" si="5"/>
        <v>22647</v>
      </c>
      <c r="P59" s="507">
        <v>6</v>
      </c>
    </row>
    <row r="60" spans="1:16" s="56" customFormat="1" ht="11.25" customHeight="1">
      <c r="A60" s="513"/>
      <c r="B60" s="514" t="s">
        <v>318</v>
      </c>
      <c r="C60" s="515" t="s">
        <v>632</v>
      </c>
      <c r="D60" s="517" t="s">
        <v>874</v>
      </c>
      <c r="E60" s="501"/>
      <c r="F60" s="501"/>
      <c r="G60" s="516"/>
      <c r="H60" s="501"/>
      <c r="I60" s="515"/>
      <c r="J60" s="501"/>
      <c r="K60" s="501"/>
      <c r="L60" s="501"/>
      <c r="M60" s="501"/>
      <c r="N60" s="501"/>
      <c r="O60" s="497"/>
      <c r="P60" s="507"/>
    </row>
    <row r="61" spans="1:16" s="56" customFormat="1" ht="11.25" customHeight="1">
      <c r="A61" s="513"/>
      <c r="B61" s="514"/>
      <c r="C61" s="515"/>
      <c r="D61" s="461" t="s">
        <v>864</v>
      </c>
      <c r="E61" s="501">
        <v>0</v>
      </c>
      <c r="F61" s="501">
        <v>0</v>
      </c>
      <c r="G61" s="516">
        <v>0</v>
      </c>
      <c r="H61" s="501"/>
      <c r="I61" s="515"/>
      <c r="J61" s="501"/>
      <c r="K61" s="501">
        <f t="shared" si="1"/>
        <v>0</v>
      </c>
      <c r="L61" s="501"/>
      <c r="M61" s="501"/>
      <c r="N61" s="501"/>
      <c r="O61" s="497">
        <f t="shared" si="5"/>
        <v>0</v>
      </c>
      <c r="P61" s="507">
        <v>0</v>
      </c>
    </row>
    <row r="62" spans="1:16" s="56" customFormat="1" ht="11.25" customHeight="1">
      <c r="A62" s="513"/>
      <c r="B62" s="514"/>
      <c r="C62" s="515"/>
      <c r="D62" s="461" t="s">
        <v>865</v>
      </c>
      <c r="E62" s="501">
        <v>1035</v>
      </c>
      <c r="F62" s="501">
        <v>140</v>
      </c>
      <c r="G62" s="516">
        <v>174</v>
      </c>
      <c r="H62" s="501"/>
      <c r="I62" s="515"/>
      <c r="J62" s="501"/>
      <c r="K62" s="501">
        <f t="shared" si="1"/>
        <v>1349</v>
      </c>
      <c r="L62" s="501"/>
      <c r="M62" s="501"/>
      <c r="N62" s="501"/>
      <c r="O62" s="497">
        <f t="shared" si="5"/>
        <v>1349</v>
      </c>
      <c r="P62" s="507">
        <v>1</v>
      </c>
    </row>
    <row r="63" spans="1:16" s="56" customFormat="1" ht="11.25" customHeight="1" thickBot="1">
      <c r="A63" s="839"/>
      <c r="B63" s="547"/>
      <c r="C63" s="840"/>
      <c r="D63" s="841" t="s">
        <v>866</v>
      </c>
      <c r="E63" s="549">
        <v>966</v>
      </c>
      <c r="F63" s="549">
        <v>130</v>
      </c>
      <c r="G63" s="842">
        <v>132</v>
      </c>
      <c r="H63" s="549"/>
      <c r="I63" s="843"/>
      <c r="J63" s="549"/>
      <c r="K63" s="549">
        <f>SUM(E63:G63)</f>
        <v>1228</v>
      </c>
      <c r="L63" s="549"/>
      <c r="M63" s="549"/>
      <c r="N63" s="549"/>
      <c r="O63" s="842">
        <f t="shared" si="5"/>
        <v>1228</v>
      </c>
      <c r="P63" s="818">
        <v>1</v>
      </c>
    </row>
    <row r="64" spans="1:16" ht="12.75" customHeight="1" thickBot="1" thickTop="1">
      <c r="A64" s="1922" t="s">
        <v>700</v>
      </c>
      <c r="B64" s="1923"/>
      <c r="C64" s="1923"/>
      <c r="D64" s="1924"/>
      <c r="E64" s="524"/>
      <c r="F64" s="524"/>
      <c r="G64" s="524"/>
      <c r="H64" s="524"/>
      <c r="I64" s="525"/>
      <c r="J64" s="524"/>
      <c r="K64" s="524"/>
      <c r="L64" s="524"/>
      <c r="M64" s="524"/>
      <c r="N64" s="524"/>
      <c r="O64" s="524"/>
      <c r="P64" s="527"/>
    </row>
    <row r="65" spans="1:16" ht="12.75" customHeight="1">
      <c r="A65" s="528"/>
      <c r="B65" s="489"/>
      <c r="C65" s="529"/>
      <c r="D65" s="520" t="s">
        <v>864</v>
      </c>
      <c r="E65" s="530">
        <f>E9+E25+E29+E41+E53</f>
        <v>154091</v>
      </c>
      <c r="F65" s="530">
        <f aca="true" t="shared" si="12" ref="F65:P65">F9+F25+F29+F41+F53</f>
        <v>40641</v>
      </c>
      <c r="G65" s="530">
        <f t="shared" si="12"/>
        <v>44405</v>
      </c>
      <c r="H65" s="530">
        <f t="shared" si="12"/>
        <v>0</v>
      </c>
      <c r="I65" s="530">
        <f t="shared" si="12"/>
        <v>0</v>
      </c>
      <c r="J65" s="530">
        <f t="shared" si="12"/>
        <v>0</v>
      </c>
      <c r="K65" s="530">
        <f t="shared" si="12"/>
        <v>239137</v>
      </c>
      <c r="L65" s="530">
        <f t="shared" si="12"/>
        <v>397</v>
      </c>
      <c r="M65" s="530">
        <f t="shared" si="12"/>
        <v>0</v>
      </c>
      <c r="N65" s="530">
        <f t="shared" si="12"/>
        <v>0</v>
      </c>
      <c r="O65" s="530">
        <f t="shared" si="12"/>
        <v>239534</v>
      </c>
      <c r="P65" s="531">
        <f t="shared" si="12"/>
        <v>83.6</v>
      </c>
    </row>
    <row r="66" spans="1:16" ht="12.75" customHeight="1">
      <c r="A66" s="532"/>
      <c r="B66" s="533"/>
      <c r="C66" s="534"/>
      <c r="D66" s="468" t="s">
        <v>865</v>
      </c>
      <c r="E66" s="535">
        <f aca="true" t="shared" si="13" ref="E66:P67">E10+E26+E30+E42+E54</f>
        <v>158622</v>
      </c>
      <c r="F66" s="535">
        <f t="shared" si="13"/>
        <v>42083</v>
      </c>
      <c r="G66" s="535">
        <f t="shared" si="13"/>
        <v>51561</v>
      </c>
      <c r="H66" s="535">
        <f t="shared" si="13"/>
        <v>0</v>
      </c>
      <c r="I66" s="535">
        <f t="shared" si="13"/>
        <v>0</v>
      </c>
      <c r="J66" s="535">
        <f t="shared" si="13"/>
        <v>0</v>
      </c>
      <c r="K66" s="535">
        <f t="shared" si="13"/>
        <v>252266</v>
      </c>
      <c r="L66" s="535">
        <f t="shared" si="13"/>
        <v>992</v>
      </c>
      <c r="M66" s="535">
        <f t="shared" si="13"/>
        <v>0</v>
      </c>
      <c r="N66" s="535">
        <f t="shared" si="13"/>
        <v>0</v>
      </c>
      <c r="O66" s="535">
        <f t="shared" si="13"/>
        <v>253258</v>
      </c>
      <c r="P66" s="507">
        <f t="shared" si="13"/>
        <v>86.6</v>
      </c>
    </row>
    <row r="67" spans="1:16" ht="12.75" customHeight="1" thickBot="1">
      <c r="A67" s="491"/>
      <c r="B67" s="494"/>
      <c r="C67" s="536"/>
      <c r="D67" s="461" t="s">
        <v>866</v>
      </c>
      <c r="E67" s="537">
        <f t="shared" si="13"/>
        <v>154148</v>
      </c>
      <c r="F67" s="537">
        <f t="shared" si="13"/>
        <v>40693</v>
      </c>
      <c r="G67" s="537">
        <f t="shared" si="13"/>
        <v>45051</v>
      </c>
      <c r="H67" s="537">
        <f t="shared" si="13"/>
        <v>0</v>
      </c>
      <c r="I67" s="537">
        <f t="shared" si="13"/>
        <v>0</v>
      </c>
      <c r="J67" s="537">
        <f t="shared" si="13"/>
        <v>0</v>
      </c>
      <c r="K67" s="537">
        <f t="shared" si="13"/>
        <v>239892</v>
      </c>
      <c r="L67" s="537">
        <f t="shared" si="13"/>
        <v>877</v>
      </c>
      <c r="M67" s="537">
        <f t="shared" si="13"/>
        <v>0</v>
      </c>
      <c r="N67" s="537">
        <f t="shared" si="13"/>
        <v>0</v>
      </c>
      <c r="O67" s="537">
        <f t="shared" si="13"/>
        <v>240769</v>
      </c>
      <c r="P67" s="512">
        <f t="shared" si="13"/>
        <v>70</v>
      </c>
    </row>
    <row r="68" spans="1:16" s="56" customFormat="1" ht="11.25" customHeight="1">
      <c r="A68" s="1914" t="s">
        <v>872</v>
      </c>
      <c r="B68" s="1915"/>
      <c r="C68" s="1915"/>
      <c r="D68" s="1916"/>
      <c r="E68" s="538"/>
      <c r="F68" s="538"/>
      <c r="G68" s="538"/>
      <c r="H68" s="538"/>
      <c r="I68" s="539"/>
      <c r="J68" s="538"/>
      <c r="K68" s="540"/>
      <c r="L68" s="538"/>
      <c r="M68" s="538"/>
      <c r="N68" s="538"/>
      <c r="O68" s="540"/>
      <c r="P68" s="604"/>
    </row>
    <row r="69" spans="1:16" s="56" customFormat="1" ht="11.25" customHeight="1">
      <c r="A69" s="541"/>
      <c r="B69" s="514"/>
      <c r="C69" s="514"/>
      <c r="D69" s="461" t="s">
        <v>864</v>
      </c>
      <c r="E69" s="510">
        <f>E13+E33+E45</f>
        <v>71314</v>
      </c>
      <c r="F69" s="510">
        <f aca="true" t="shared" si="14" ref="F69:P69">F13+F33+F45</f>
        <v>18888</v>
      </c>
      <c r="G69" s="510">
        <f t="shared" si="14"/>
        <v>30350</v>
      </c>
      <c r="H69" s="510">
        <f t="shared" si="14"/>
        <v>0</v>
      </c>
      <c r="I69" s="510">
        <f t="shared" si="14"/>
        <v>0</v>
      </c>
      <c r="J69" s="510">
        <f t="shared" si="14"/>
        <v>0</v>
      </c>
      <c r="K69" s="537">
        <f t="shared" si="14"/>
        <v>120552</v>
      </c>
      <c r="L69" s="510">
        <f t="shared" si="14"/>
        <v>0</v>
      </c>
      <c r="M69" s="510">
        <f t="shared" si="14"/>
        <v>0</v>
      </c>
      <c r="N69" s="510">
        <f t="shared" si="14"/>
        <v>0</v>
      </c>
      <c r="O69" s="537">
        <f t="shared" si="14"/>
        <v>120552</v>
      </c>
      <c r="P69" s="512">
        <f t="shared" si="14"/>
        <v>39.7</v>
      </c>
    </row>
    <row r="70" spans="1:16" s="56" customFormat="1" ht="11.25" customHeight="1">
      <c r="A70" s="541"/>
      <c r="B70" s="514"/>
      <c r="C70" s="514"/>
      <c r="D70" s="461" t="s">
        <v>865</v>
      </c>
      <c r="E70" s="501">
        <f>E14+E22+E34+E42</f>
        <v>73072</v>
      </c>
      <c r="F70" s="501">
        <f aca="true" t="shared" si="15" ref="F70:P70">F14+F22+F34+F42</f>
        <v>19678</v>
      </c>
      <c r="G70" s="501">
        <f t="shared" si="15"/>
        <v>35021</v>
      </c>
      <c r="H70" s="501">
        <f t="shared" si="15"/>
        <v>0</v>
      </c>
      <c r="I70" s="501">
        <f t="shared" si="15"/>
        <v>0</v>
      </c>
      <c r="J70" s="501">
        <f t="shared" si="15"/>
        <v>0</v>
      </c>
      <c r="K70" s="535">
        <f t="shared" si="15"/>
        <v>127771</v>
      </c>
      <c r="L70" s="501">
        <f t="shared" si="15"/>
        <v>180</v>
      </c>
      <c r="M70" s="501">
        <f t="shared" si="15"/>
        <v>0</v>
      </c>
      <c r="N70" s="501">
        <f t="shared" si="15"/>
        <v>0</v>
      </c>
      <c r="O70" s="535">
        <f t="shared" si="15"/>
        <v>127951</v>
      </c>
      <c r="P70" s="507">
        <f t="shared" si="15"/>
        <v>41.7</v>
      </c>
    </row>
    <row r="71" spans="1:16" s="56" customFormat="1" ht="11.25" customHeight="1" thickBot="1">
      <c r="A71" s="542"/>
      <c r="B71" s="543"/>
      <c r="C71" s="543"/>
      <c r="D71" s="520" t="s">
        <v>866</v>
      </c>
      <c r="E71" s="501">
        <f>E15+E23+E35+E43</f>
        <v>71838</v>
      </c>
      <c r="F71" s="501">
        <f aca="true" t="shared" si="16" ref="F71:P71">F15+F23+F35+F43</f>
        <v>19024</v>
      </c>
      <c r="G71" s="501">
        <f t="shared" si="16"/>
        <v>32225</v>
      </c>
      <c r="H71" s="501">
        <f t="shared" si="16"/>
        <v>0</v>
      </c>
      <c r="I71" s="501">
        <f t="shared" si="16"/>
        <v>0</v>
      </c>
      <c r="J71" s="501">
        <f t="shared" si="16"/>
        <v>0</v>
      </c>
      <c r="K71" s="535">
        <f t="shared" si="16"/>
        <v>123087</v>
      </c>
      <c r="L71" s="501">
        <f t="shared" si="16"/>
        <v>180</v>
      </c>
      <c r="M71" s="501">
        <f t="shared" si="16"/>
        <v>0</v>
      </c>
      <c r="N71" s="501">
        <f t="shared" si="16"/>
        <v>0</v>
      </c>
      <c r="O71" s="535">
        <f t="shared" si="16"/>
        <v>123267</v>
      </c>
      <c r="P71" s="507">
        <f t="shared" si="16"/>
        <v>39</v>
      </c>
    </row>
    <row r="72" spans="1:16" s="56" customFormat="1" ht="10.5" customHeight="1">
      <c r="A72" s="1917" t="s">
        <v>885</v>
      </c>
      <c r="B72" s="1915"/>
      <c r="C72" s="1915"/>
      <c r="D72" s="1916"/>
      <c r="E72" s="538"/>
      <c r="F72" s="538"/>
      <c r="G72" s="538"/>
      <c r="H72" s="538"/>
      <c r="I72" s="539"/>
      <c r="J72" s="538"/>
      <c r="K72" s="540"/>
      <c r="L72" s="538"/>
      <c r="M72" s="538"/>
      <c r="N72" s="538"/>
      <c r="O72" s="540"/>
      <c r="P72" s="604"/>
    </row>
    <row r="73" spans="1:16" s="56" customFormat="1" ht="10.5" customHeight="1">
      <c r="A73" s="544"/>
      <c r="B73" s="514"/>
      <c r="C73" s="545"/>
      <c r="D73" s="468" t="s">
        <v>864</v>
      </c>
      <c r="E73" s="501">
        <f>E17+E25+E37+E57</f>
        <v>82777</v>
      </c>
      <c r="F73" s="501">
        <f aca="true" t="shared" si="17" ref="F73:P73">F17+F25+F37+F57</f>
        <v>21753</v>
      </c>
      <c r="G73" s="501">
        <f t="shared" si="17"/>
        <v>14055</v>
      </c>
      <c r="H73" s="501">
        <f t="shared" si="17"/>
        <v>0</v>
      </c>
      <c r="I73" s="501">
        <f t="shared" si="17"/>
        <v>0</v>
      </c>
      <c r="J73" s="501">
        <f t="shared" si="17"/>
        <v>0</v>
      </c>
      <c r="K73" s="535">
        <f t="shared" si="17"/>
        <v>118585</v>
      </c>
      <c r="L73" s="501">
        <f t="shared" si="17"/>
        <v>397</v>
      </c>
      <c r="M73" s="501">
        <f t="shared" si="17"/>
        <v>0</v>
      </c>
      <c r="N73" s="501">
        <f t="shared" si="17"/>
        <v>0</v>
      </c>
      <c r="O73" s="535">
        <f t="shared" si="17"/>
        <v>118982</v>
      </c>
      <c r="P73" s="507">
        <f t="shared" si="17"/>
        <v>43.9</v>
      </c>
    </row>
    <row r="74" spans="1:16" s="56" customFormat="1" ht="10.5" customHeight="1">
      <c r="A74" s="544"/>
      <c r="B74" s="514"/>
      <c r="C74" s="545"/>
      <c r="D74" s="468" t="s">
        <v>865</v>
      </c>
      <c r="E74" s="501">
        <f>E18+E26+E38+E54</f>
        <v>85550</v>
      </c>
      <c r="F74" s="501">
        <f aca="true" t="shared" si="18" ref="F74:P74">F18+F26+F38+F54</f>
        <v>22405</v>
      </c>
      <c r="G74" s="501">
        <f t="shared" si="18"/>
        <v>16540</v>
      </c>
      <c r="H74" s="501">
        <f t="shared" si="18"/>
        <v>0</v>
      </c>
      <c r="I74" s="501">
        <f t="shared" si="18"/>
        <v>0</v>
      </c>
      <c r="J74" s="501">
        <f t="shared" si="18"/>
        <v>0</v>
      </c>
      <c r="K74" s="535">
        <f t="shared" si="18"/>
        <v>124495</v>
      </c>
      <c r="L74" s="501">
        <f t="shared" si="18"/>
        <v>812</v>
      </c>
      <c r="M74" s="501">
        <f t="shared" si="18"/>
        <v>0</v>
      </c>
      <c r="N74" s="501">
        <f t="shared" si="18"/>
        <v>0</v>
      </c>
      <c r="O74" s="535">
        <f t="shared" si="18"/>
        <v>125307</v>
      </c>
      <c r="P74" s="507">
        <f t="shared" si="18"/>
        <v>44.9</v>
      </c>
    </row>
    <row r="75" spans="1:16" s="56" customFormat="1" ht="10.5" customHeight="1" thickBot="1">
      <c r="A75" s="546"/>
      <c r="B75" s="547"/>
      <c r="C75" s="548"/>
      <c r="D75" s="427" t="s">
        <v>866</v>
      </c>
      <c r="E75" s="549">
        <f>E19+E27+E39+E55</f>
        <v>82310</v>
      </c>
      <c r="F75" s="549">
        <f aca="true" t="shared" si="19" ref="F75:P75">F19+F27+F39+F55</f>
        <v>21669</v>
      </c>
      <c r="G75" s="549">
        <f t="shared" si="19"/>
        <v>12826</v>
      </c>
      <c r="H75" s="549">
        <f t="shared" si="19"/>
        <v>0</v>
      </c>
      <c r="I75" s="549">
        <f t="shared" si="19"/>
        <v>0</v>
      </c>
      <c r="J75" s="549">
        <f t="shared" si="19"/>
        <v>0</v>
      </c>
      <c r="K75" s="581">
        <f t="shared" si="19"/>
        <v>116805</v>
      </c>
      <c r="L75" s="549">
        <f t="shared" si="19"/>
        <v>697</v>
      </c>
      <c r="M75" s="549">
        <f t="shared" si="19"/>
        <v>0</v>
      </c>
      <c r="N75" s="549">
        <f t="shared" si="19"/>
        <v>0</v>
      </c>
      <c r="O75" s="581">
        <f t="shared" si="19"/>
        <v>117502</v>
      </c>
      <c r="P75" s="818">
        <f t="shared" si="19"/>
        <v>31</v>
      </c>
    </row>
    <row r="76" spans="1:16" ht="12.75" customHeight="1" thickTop="1">
      <c r="A76" s="550" t="s">
        <v>323</v>
      </c>
      <c r="B76" s="551"/>
      <c r="C76" s="552"/>
      <c r="D76" s="553" t="s">
        <v>782</v>
      </c>
      <c r="E76" s="537"/>
      <c r="F76" s="537"/>
      <c r="G76" s="537"/>
      <c r="H76" s="537"/>
      <c r="I76" s="537"/>
      <c r="J76" s="537"/>
      <c r="K76" s="554"/>
      <c r="L76" s="554"/>
      <c r="M76" s="554"/>
      <c r="N76" s="554"/>
      <c r="O76" s="554"/>
      <c r="P76" s="555"/>
    </row>
    <row r="77" spans="1:16" ht="12.75" customHeight="1">
      <c r="A77" s="513"/>
      <c r="B77" s="556"/>
      <c r="C77" s="557"/>
      <c r="D77" s="468" t="s">
        <v>864</v>
      </c>
      <c r="E77" s="535">
        <f>E81+E85+E89+E93</f>
        <v>178184</v>
      </c>
      <c r="F77" s="535">
        <f aca="true" t="shared" si="20" ref="F77:P77">F81+F85+F89+F93</f>
        <v>47826</v>
      </c>
      <c r="G77" s="535">
        <f t="shared" si="20"/>
        <v>43100</v>
      </c>
      <c r="H77" s="535">
        <f t="shared" si="20"/>
        <v>0</v>
      </c>
      <c r="I77" s="535">
        <f t="shared" si="20"/>
        <v>0</v>
      </c>
      <c r="J77" s="535">
        <f t="shared" si="20"/>
        <v>0</v>
      </c>
      <c r="K77" s="535">
        <f t="shared" si="20"/>
        <v>269110</v>
      </c>
      <c r="L77" s="535">
        <f t="shared" si="20"/>
        <v>7335</v>
      </c>
      <c r="M77" s="535">
        <f t="shared" si="20"/>
        <v>0</v>
      </c>
      <c r="N77" s="535">
        <f t="shared" si="20"/>
        <v>0</v>
      </c>
      <c r="O77" s="535">
        <f t="shared" si="20"/>
        <v>276445</v>
      </c>
      <c r="P77" s="507">
        <f t="shared" si="20"/>
        <v>58.800000000000004</v>
      </c>
    </row>
    <row r="78" spans="1:16" ht="12.75" customHeight="1">
      <c r="A78" s="513"/>
      <c r="B78" s="556"/>
      <c r="C78" s="557"/>
      <c r="D78" s="461" t="s">
        <v>865</v>
      </c>
      <c r="E78" s="535">
        <f aca="true" t="shared" si="21" ref="E78:P79">E82+E86+E90+E94</f>
        <v>179345</v>
      </c>
      <c r="F78" s="535">
        <f t="shared" si="21"/>
        <v>48193</v>
      </c>
      <c r="G78" s="535">
        <f t="shared" si="21"/>
        <v>47733</v>
      </c>
      <c r="H78" s="535">
        <f t="shared" si="21"/>
        <v>0</v>
      </c>
      <c r="I78" s="535">
        <f t="shared" si="21"/>
        <v>0</v>
      </c>
      <c r="J78" s="535">
        <f t="shared" si="21"/>
        <v>0</v>
      </c>
      <c r="K78" s="535">
        <f t="shared" si="21"/>
        <v>275271</v>
      </c>
      <c r="L78" s="535">
        <f t="shared" si="21"/>
        <v>7373</v>
      </c>
      <c r="M78" s="535">
        <f t="shared" si="21"/>
        <v>0</v>
      </c>
      <c r="N78" s="535">
        <f t="shared" si="21"/>
        <v>0</v>
      </c>
      <c r="O78" s="535">
        <f t="shared" si="21"/>
        <v>282644</v>
      </c>
      <c r="P78" s="507">
        <f t="shared" si="21"/>
        <v>56.800000000000004</v>
      </c>
    </row>
    <row r="79" spans="1:16" ht="12.75" customHeight="1">
      <c r="A79" s="513"/>
      <c r="B79" s="556"/>
      <c r="C79" s="557"/>
      <c r="D79" s="461" t="s">
        <v>866</v>
      </c>
      <c r="E79" s="535">
        <f>E83+E87+E91+E95</f>
        <v>165160</v>
      </c>
      <c r="F79" s="535">
        <f>F83+F87+F91+F95</f>
        <v>43095</v>
      </c>
      <c r="G79" s="535">
        <f>G83+G87+G91+G95</f>
        <v>37243</v>
      </c>
      <c r="H79" s="535">
        <f t="shared" si="21"/>
        <v>0</v>
      </c>
      <c r="I79" s="535">
        <f t="shared" si="21"/>
        <v>0</v>
      </c>
      <c r="J79" s="535">
        <f t="shared" si="21"/>
        <v>0</v>
      </c>
      <c r="K79" s="535">
        <f>K83+K87+K91+K95</f>
        <v>245498</v>
      </c>
      <c r="L79" s="535">
        <f t="shared" si="21"/>
        <v>7267</v>
      </c>
      <c r="M79" s="535">
        <f t="shared" si="21"/>
        <v>0</v>
      </c>
      <c r="N79" s="535">
        <f t="shared" si="21"/>
        <v>0</v>
      </c>
      <c r="O79" s="535">
        <f>O83+O87+O91+O95</f>
        <v>252765</v>
      </c>
      <c r="P79" s="507">
        <f t="shared" si="21"/>
        <v>55.800000000000004</v>
      </c>
    </row>
    <row r="80" spans="1:16" ht="11.25" customHeight="1">
      <c r="A80" s="558"/>
      <c r="B80" s="514" t="s">
        <v>316</v>
      </c>
      <c r="C80" s="515" t="s">
        <v>631</v>
      </c>
      <c r="D80" s="559" t="s">
        <v>489</v>
      </c>
      <c r="E80" s="501"/>
      <c r="F80" s="501"/>
      <c r="G80" s="501"/>
      <c r="H80" s="501"/>
      <c r="I80" s="515"/>
      <c r="J80" s="501"/>
      <c r="K80" s="535"/>
      <c r="L80" s="501"/>
      <c r="M80" s="501"/>
      <c r="N80" s="501"/>
      <c r="O80" s="535"/>
      <c r="P80" s="507"/>
    </row>
    <row r="81" spans="1:16" ht="11.25" customHeight="1">
      <c r="A81" s="558"/>
      <c r="B81" s="514"/>
      <c r="C81" s="515"/>
      <c r="D81" s="461" t="s">
        <v>864</v>
      </c>
      <c r="E81" s="501">
        <v>168717</v>
      </c>
      <c r="F81" s="501">
        <v>45553</v>
      </c>
      <c r="G81" s="501">
        <v>40000</v>
      </c>
      <c r="H81" s="501"/>
      <c r="I81" s="905"/>
      <c r="J81" s="501"/>
      <c r="K81" s="535">
        <f>SUM(E81:J81)</f>
        <v>254270</v>
      </c>
      <c r="L81" s="501">
        <v>7335</v>
      </c>
      <c r="M81" s="501"/>
      <c r="N81" s="501"/>
      <c r="O81" s="535">
        <f>SUM(K81:N81)</f>
        <v>261605</v>
      </c>
      <c r="P81" s="507">
        <v>53.6</v>
      </c>
    </row>
    <row r="82" spans="1:16" ht="11.25" customHeight="1">
      <c r="A82" s="558"/>
      <c r="B82" s="514"/>
      <c r="C82" s="515"/>
      <c r="D82" s="461" t="s">
        <v>865</v>
      </c>
      <c r="E82" s="501">
        <v>169188</v>
      </c>
      <c r="F82" s="501">
        <v>45616</v>
      </c>
      <c r="G82" s="501">
        <v>44633</v>
      </c>
      <c r="H82" s="501"/>
      <c r="I82" s="515"/>
      <c r="J82" s="501"/>
      <c r="K82" s="535">
        <f aca="true" t="shared" si="22" ref="K82:K95">SUM(E82:J82)</f>
        <v>259437</v>
      </c>
      <c r="L82" s="501">
        <v>7373</v>
      </c>
      <c r="M82" s="501"/>
      <c r="N82" s="501"/>
      <c r="O82" s="535">
        <f aca="true" t="shared" si="23" ref="O82:O95">SUM(K82:N82)</f>
        <v>266810</v>
      </c>
      <c r="P82" s="507">
        <v>51.6</v>
      </c>
    </row>
    <row r="83" spans="1:16" ht="11.25" customHeight="1">
      <c r="A83" s="558"/>
      <c r="B83" s="514"/>
      <c r="C83" s="515"/>
      <c r="D83" s="461" t="s">
        <v>866</v>
      </c>
      <c r="E83" s="501">
        <f>153210+1969</f>
        <v>155179</v>
      </c>
      <c r="F83" s="501">
        <v>40518</v>
      </c>
      <c r="G83" s="501">
        <f>3351+23434+6475+3850+1+7</f>
        <v>37118</v>
      </c>
      <c r="H83" s="501"/>
      <c r="I83" s="515"/>
      <c r="J83" s="501"/>
      <c r="K83" s="535">
        <f>SUM(E83:J83)</f>
        <v>232815</v>
      </c>
      <c r="L83" s="501">
        <v>7267</v>
      </c>
      <c r="M83" s="501"/>
      <c r="N83" s="501"/>
      <c r="O83" s="535">
        <f>SUM(K83:N83)</f>
        <v>240082</v>
      </c>
      <c r="P83" s="507">
        <v>50.6</v>
      </c>
    </row>
    <row r="84" spans="1:16" ht="11.25" customHeight="1">
      <c r="A84" s="558"/>
      <c r="B84" s="514" t="s">
        <v>318</v>
      </c>
      <c r="C84" s="515" t="s">
        <v>632</v>
      </c>
      <c r="D84" s="559" t="s">
        <v>454</v>
      </c>
      <c r="E84" s="560"/>
      <c r="F84" s="560"/>
      <c r="G84" s="501"/>
      <c r="H84" s="501"/>
      <c r="I84" s="515"/>
      <c r="J84" s="501"/>
      <c r="K84" s="535"/>
      <c r="L84" s="501"/>
      <c r="M84" s="501"/>
      <c r="N84" s="501"/>
      <c r="O84" s="535"/>
      <c r="P84" s="561"/>
    </row>
    <row r="85" spans="1:16" ht="11.25" customHeight="1">
      <c r="A85" s="558"/>
      <c r="B85" s="514"/>
      <c r="C85" s="515"/>
      <c r="D85" s="461" t="s">
        <v>864</v>
      </c>
      <c r="E85" s="560"/>
      <c r="F85" s="560"/>
      <c r="G85" s="501">
        <v>100</v>
      </c>
      <c r="H85" s="501"/>
      <c r="I85" s="515"/>
      <c r="J85" s="501"/>
      <c r="K85" s="535">
        <f t="shared" si="22"/>
        <v>100</v>
      </c>
      <c r="L85" s="501"/>
      <c r="M85" s="501"/>
      <c r="N85" s="501"/>
      <c r="O85" s="535">
        <f t="shared" si="23"/>
        <v>100</v>
      </c>
      <c r="P85" s="507">
        <v>0</v>
      </c>
    </row>
    <row r="86" spans="1:16" ht="11.25" customHeight="1">
      <c r="A86" s="558"/>
      <c r="B86" s="514"/>
      <c r="C86" s="515"/>
      <c r="D86" s="461" t="s">
        <v>865</v>
      </c>
      <c r="E86" s="560"/>
      <c r="F86" s="560"/>
      <c r="G86" s="501">
        <v>100</v>
      </c>
      <c r="H86" s="501"/>
      <c r="I86" s="515"/>
      <c r="J86" s="501"/>
      <c r="K86" s="535">
        <f t="shared" si="22"/>
        <v>100</v>
      </c>
      <c r="L86" s="501"/>
      <c r="M86" s="501"/>
      <c r="N86" s="501"/>
      <c r="O86" s="535">
        <f t="shared" si="23"/>
        <v>100</v>
      </c>
      <c r="P86" s="507">
        <v>0</v>
      </c>
    </row>
    <row r="87" spans="1:16" ht="11.25" customHeight="1">
      <c r="A87" s="558"/>
      <c r="B87" s="514"/>
      <c r="C87" s="515"/>
      <c r="D87" s="461" t="s">
        <v>866</v>
      </c>
      <c r="E87" s="560"/>
      <c r="F87" s="560"/>
      <c r="G87" s="501">
        <v>0</v>
      </c>
      <c r="H87" s="501"/>
      <c r="I87" s="515"/>
      <c r="J87" s="501"/>
      <c r="K87" s="535">
        <f t="shared" si="22"/>
        <v>0</v>
      </c>
      <c r="L87" s="501"/>
      <c r="M87" s="501"/>
      <c r="N87" s="501"/>
      <c r="O87" s="535">
        <f t="shared" si="23"/>
        <v>0</v>
      </c>
      <c r="P87" s="507">
        <v>0</v>
      </c>
    </row>
    <row r="88" spans="1:16" ht="11.25" customHeight="1">
      <c r="A88" s="558"/>
      <c r="B88" s="514" t="s">
        <v>319</v>
      </c>
      <c r="C88" s="515" t="s">
        <v>631</v>
      </c>
      <c r="D88" s="559" t="s">
        <v>490</v>
      </c>
      <c r="E88" s="501"/>
      <c r="F88" s="501"/>
      <c r="G88" s="501"/>
      <c r="H88" s="560"/>
      <c r="I88" s="557"/>
      <c r="J88" s="560"/>
      <c r="K88" s="535"/>
      <c r="L88" s="501"/>
      <c r="M88" s="501"/>
      <c r="N88" s="501"/>
      <c r="O88" s="535"/>
      <c r="P88" s="507"/>
    </row>
    <row r="89" spans="1:16" ht="11.25" customHeight="1">
      <c r="A89" s="558"/>
      <c r="B89" s="514"/>
      <c r="C89" s="515"/>
      <c r="D89" s="461" t="s">
        <v>864</v>
      </c>
      <c r="E89" s="501">
        <v>9467</v>
      </c>
      <c r="F89" s="501">
        <v>2273</v>
      </c>
      <c r="G89" s="501">
        <v>3000</v>
      </c>
      <c r="H89" s="560"/>
      <c r="I89" s="557"/>
      <c r="J89" s="560"/>
      <c r="K89" s="535">
        <f t="shared" si="22"/>
        <v>14740</v>
      </c>
      <c r="L89" s="501"/>
      <c r="M89" s="501"/>
      <c r="N89" s="501"/>
      <c r="O89" s="535">
        <f t="shared" si="23"/>
        <v>14740</v>
      </c>
      <c r="P89" s="507">
        <v>5.2</v>
      </c>
    </row>
    <row r="90" spans="1:16" ht="11.25" customHeight="1">
      <c r="A90" s="558"/>
      <c r="B90" s="514"/>
      <c r="C90" s="515"/>
      <c r="D90" s="461" t="s">
        <v>865</v>
      </c>
      <c r="E90" s="501">
        <v>10157</v>
      </c>
      <c r="F90" s="501">
        <v>2577</v>
      </c>
      <c r="G90" s="501">
        <v>3000</v>
      </c>
      <c r="H90" s="560"/>
      <c r="I90" s="557"/>
      <c r="J90" s="560"/>
      <c r="K90" s="535">
        <f t="shared" si="22"/>
        <v>15734</v>
      </c>
      <c r="L90" s="501"/>
      <c r="M90" s="501"/>
      <c r="N90" s="501"/>
      <c r="O90" s="535">
        <f t="shared" si="23"/>
        <v>15734</v>
      </c>
      <c r="P90" s="507">
        <v>5.2</v>
      </c>
    </row>
    <row r="91" spans="1:16" ht="11.25" customHeight="1">
      <c r="A91" s="558"/>
      <c r="B91" s="514"/>
      <c r="C91" s="515"/>
      <c r="D91" s="461" t="s">
        <v>866</v>
      </c>
      <c r="E91" s="501">
        <f>9788+193</f>
        <v>9981</v>
      </c>
      <c r="F91" s="501">
        <v>2577</v>
      </c>
      <c r="G91" s="501">
        <v>125</v>
      </c>
      <c r="H91" s="560"/>
      <c r="I91" s="557"/>
      <c r="J91" s="560"/>
      <c r="K91" s="535">
        <f>SUM(E91:J91)</f>
        <v>12683</v>
      </c>
      <c r="L91" s="501"/>
      <c r="M91" s="501"/>
      <c r="N91" s="501"/>
      <c r="O91" s="535">
        <f t="shared" si="23"/>
        <v>12683</v>
      </c>
      <c r="P91" s="507">
        <v>5.2</v>
      </c>
    </row>
    <row r="92" spans="1:16" ht="11.25" customHeight="1">
      <c r="A92" s="558"/>
      <c r="B92" s="514" t="s">
        <v>321</v>
      </c>
      <c r="C92" s="515" t="s">
        <v>631</v>
      </c>
      <c r="D92" s="559" t="s">
        <v>799</v>
      </c>
      <c r="E92" s="501"/>
      <c r="F92" s="501"/>
      <c r="G92" s="501"/>
      <c r="H92" s="560"/>
      <c r="I92" s="557"/>
      <c r="J92" s="560"/>
      <c r="K92" s="535"/>
      <c r="L92" s="501"/>
      <c r="M92" s="501"/>
      <c r="N92" s="501"/>
      <c r="O92" s="535"/>
      <c r="P92" s="507"/>
    </row>
    <row r="93" spans="1:16" ht="11.25" customHeight="1">
      <c r="A93" s="558"/>
      <c r="B93" s="514"/>
      <c r="C93" s="515"/>
      <c r="D93" s="461" t="s">
        <v>864</v>
      </c>
      <c r="E93" s="501">
        <v>0</v>
      </c>
      <c r="F93" s="501">
        <v>0</v>
      </c>
      <c r="G93" s="501">
        <v>0</v>
      </c>
      <c r="H93" s="560"/>
      <c r="I93" s="557"/>
      <c r="J93" s="560"/>
      <c r="K93" s="535">
        <f t="shared" si="22"/>
        <v>0</v>
      </c>
      <c r="L93" s="501"/>
      <c r="M93" s="501"/>
      <c r="N93" s="501"/>
      <c r="O93" s="535">
        <f t="shared" si="23"/>
        <v>0</v>
      </c>
      <c r="P93" s="507">
        <v>0</v>
      </c>
    </row>
    <row r="94" spans="1:16" ht="11.25" customHeight="1">
      <c r="A94" s="558"/>
      <c r="B94" s="514"/>
      <c r="C94" s="515"/>
      <c r="D94" s="461" t="s">
        <v>865</v>
      </c>
      <c r="E94" s="501">
        <v>0</v>
      </c>
      <c r="F94" s="501">
        <v>0</v>
      </c>
      <c r="G94" s="501"/>
      <c r="H94" s="560"/>
      <c r="I94" s="557"/>
      <c r="J94" s="560"/>
      <c r="K94" s="535">
        <f t="shared" si="22"/>
        <v>0</v>
      </c>
      <c r="L94" s="501"/>
      <c r="M94" s="501"/>
      <c r="N94" s="501"/>
      <c r="O94" s="535">
        <f t="shared" si="23"/>
        <v>0</v>
      </c>
      <c r="P94" s="507">
        <v>0</v>
      </c>
    </row>
    <row r="95" spans="1:16" ht="11.25" customHeight="1" thickBot="1">
      <c r="A95" s="562"/>
      <c r="B95" s="508"/>
      <c r="C95" s="509"/>
      <c r="D95" s="461" t="s">
        <v>866</v>
      </c>
      <c r="E95" s="510"/>
      <c r="F95" s="510"/>
      <c r="G95" s="510"/>
      <c r="H95" s="563"/>
      <c r="I95" s="552"/>
      <c r="J95" s="563"/>
      <c r="K95" s="535">
        <f t="shared" si="22"/>
        <v>0</v>
      </c>
      <c r="L95" s="510"/>
      <c r="M95" s="510"/>
      <c r="N95" s="510"/>
      <c r="O95" s="535">
        <f t="shared" si="23"/>
        <v>0</v>
      </c>
      <c r="P95" s="512"/>
    </row>
    <row r="96" spans="1:16" ht="10.5" customHeight="1">
      <c r="A96" s="564" t="s">
        <v>324</v>
      </c>
      <c r="B96" s="565"/>
      <c r="C96" s="566"/>
      <c r="D96" s="567" t="s">
        <v>499</v>
      </c>
      <c r="E96" s="530"/>
      <c r="F96" s="530"/>
      <c r="G96" s="530"/>
      <c r="H96" s="530"/>
      <c r="I96" s="568"/>
      <c r="J96" s="530"/>
      <c r="K96" s="530"/>
      <c r="L96" s="530"/>
      <c r="M96" s="530"/>
      <c r="N96" s="530"/>
      <c r="O96" s="567"/>
      <c r="P96" s="531"/>
    </row>
    <row r="97" spans="1:16" ht="10.5" customHeight="1">
      <c r="A97" s="513"/>
      <c r="B97" s="514"/>
      <c r="C97" s="515"/>
      <c r="D97" s="468" t="s">
        <v>864</v>
      </c>
      <c r="E97" s="535">
        <f>E101+E113</f>
        <v>26661</v>
      </c>
      <c r="F97" s="535">
        <f aca="true" t="shared" si="24" ref="F97:P97">F101+F113</f>
        <v>6761</v>
      </c>
      <c r="G97" s="535">
        <f t="shared" si="24"/>
        <v>2900</v>
      </c>
      <c r="H97" s="535">
        <f t="shared" si="24"/>
        <v>0</v>
      </c>
      <c r="I97" s="535">
        <f t="shared" si="24"/>
        <v>0</v>
      </c>
      <c r="J97" s="535">
        <f t="shared" si="24"/>
        <v>0</v>
      </c>
      <c r="K97" s="535">
        <f t="shared" si="24"/>
        <v>36322</v>
      </c>
      <c r="L97" s="535">
        <f t="shared" si="24"/>
        <v>0</v>
      </c>
      <c r="M97" s="535">
        <f t="shared" si="24"/>
        <v>0</v>
      </c>
      <c r="N97" s="535">
        <f t="shared" si="24"/>
        <v>0</v>
      </c>
      <c r="O97" s="535">
        <f t="shared" si="24"/>
        <v>36322</v>
      </c>
      <c r="P97" s="507">
        <f t="shared" si="24"/>
        <v>1.2</v>
      </c>
    </row>
    <row r="98" spans="1:16" ht="10.5" customHeight="1">
      <c r="A98" s="513"/>
      <c r="B98" s="514"/>
      <c r="C98" s="515"/>
      <c r="D98" s="468" t="s">
        <v>865</v>
      </c>
      <c r="E98" s="535">
        <f aca="true" t="shared" si="25" ref="E98:P99">E102+E114</f>
        <v>26661</v>
      </c>
      <c r="F98" s="535">
        <f t="shared" si="25"/>
        <v>7051</v>
      </c>
      <c r="G98" s="535">
        <f t="shared" si="25"/>
        <v>2856</v>
      </c>
      <c r="H98" s="535">
        <f t="shared" si="25"/>
        <v>0</v>
      </c>
      <c r="I98" s="535">
        <f t="shared" si="25"/>
        <v>0</v>
      </c>
      <c r="J98" s="535">
        <f t="shared" si="25"/>
        <v>0</v>
      </c>
      <c r="K98" s="535">
        <f t="shared" si="25"/>
        <v>36568</v>
      </c>
      <c r="L98" s="535">
        <f t="shared" si="25"/>
        <v>0</v>
      </c>
      <c r="M98" s="535">
        <f t="shared" si="25"/>
        <v>0</v>
      </c>
      <c r="N98" s="535">
        <f t="shared" si="25"/>
        <v>0</v>
      </c>
      <c r="O98" s="535">
        <f t="shared" si="25"/>
        <v>36568</v>
      </c>
      <c r="P98" s="507">
        <f t="shared" si="25"/>
        <v>1.2</v>
      </c>
    </row>
    <row r="99" spans="1:16" ht="10.5" customHeight="1">
      <c r="A99" s="513"/>
      <c r="B99" s="514"/>
      <c r="C99" s="515"/>
      <c r="D99" s="468" t="s">
        <v>866</v>
      </c>
      <c r="E99" s="535">
        <f>E103+E115</f>
        <v>25823</v>
      </c>
      <c r="F99" s="535">
        <f>F103+F115</f>
        <v>7024</v>
      </c>
      <c r="G99" s="535">
        <f>G103+G115</f>
        <v>2522</v>
      </c>
      <c r="H99" s="535">
        <f t="shared" si="25"/>
        <v>0</v>
      </c>
      <c r="I99" s="535">
        <f t="shared" si="25"/>
        <v>0</v>
      </c>
      <c r="J99" s="535">
        <f t="shared" si="25"/>
        <v>0</v>
      </c>
      <c r="K99" s="535">
        <f>K103+K115</f>
        <v>35369</v>
      </c>
      <c r="L99" s="535">
        <f t="shared" si="25"/>
        <v>0</v>
      </c>
      <c r="M99" s="535">
        <f t="shared" si="25"/>
        <v>0</v>
      </c>
      <c r="N99" s="535">
        <f t="shared" si="25"/>
        <v>0</v>
      </c>
      <c r="O99" s="535">
        <f t="shared" si="25"/>
        <v>35369</v>
      </c>
      <c r="P99" s="507">
        <f t="shared" si="25"/>
        <v>1.2</v>
      </c>
    </row>
    <row r="100" spans="1:16" ht="10.5" customHeight="1">
      <c r="A100" s="513"/>
      <c r="B100" s="514" t="s">
        <v>316</v>
      </c>
      <c r="C100" s="515"/>
      <c r="D100" s="559" t="s">
        <v>500</v>
      </c>
      <c r="E100" s="501"/>
      <c r="F100" s="501"/>
      <c r="G100" s="501"/>
      <c r="H100" s="501"/>
      <c r="I100" s="515"/>
      <c r="J100" s="501"/>
      <c r="K100" s="535"/>
      <c r="L100" s="501"/>
      <c r="M100" s="501"/>
      <c r="N100" s="501"/>
      <c r="O100" s="569"/>
      <c r="P100" s="507"/>
    </row>
    <row r="101" spans="1:16" ht="10.5" customHeight="1">
      <c r="A101" s="513"/>
      <c r="B101" s="514"/>
      <c r="C101" s="515"/>
      <c r="D101" s="468" t="s">
        <v>864</v>
      </c>
      <c r="E101" s="501">
        <f>E105+E109</f>
        <v>26661</v>
      </c>
      <c r="F101" s="501">
        <f aca="true" t="shared" si="26" ref="F101:P101">F105+F109</f>
        <v>6761</v>
      </c>
      <c r="G101" s="501">
        <f t="shared" si="26"/>
        <v>1500</v>
      </c>
      <c r="H101" s="501">
        <f t="shared" si="26"/>
        <v>0</v>
      </c>
      <c r="I101" s="501">
        <f t="shared" si="26"/>
        <v>0</v>
      </c>
      <c r="J101" s="501">
        <f t="shared" si="26"/>
        <v>0</v>
      </c>
      <c r="K101" s="535">
        <f t="shared" si="26"/>
        <v>34922</v>
      </c>
      <c r="L101" s="501">
        <f t="shared" si="26"/>
        <v>0</v>
      </c>
      <c r="M101" s="501">
        <f t="shared" si="26"/>
        <v>0</v>
      </c>
      <c r="N101" s="501">
        <f t="shared" si="26"/>
        <v>0</v>
      </c>
      <c r="O101" s="535">
        <f>SUM(K101:N101)</f>
        <v>34922</v>
      </c>
      <c r="P101" s="507">
        <f t="shared" si="26"/>
        <v>1.2</v>
      </c>
    </row>
    <row r="102" spans="1:16" ht="10.5" customHeight="1">
      <c r="A102" s="513"/>
      <c r="B102" s="514"/>
      <c r="C102" s="515"/>
      <c r="D102" s="468" t="s">
        <v>865</v>
      </c>
      <c r="E102" s="501">
        <f aca="true" t="shared" si="27" ref="E102:P103">E106+E110</f>
        <v>26661</v>
      </c>
      <c r="F102" s="501">
        <f t="shared" si="27"/>
        <v>7051</v>
      </c>
      <c r="G102" s="501">
        <f t="shared" si="27"/>
        <v>1456</v>
      </c>
      <c r="H102" s="501">
        <f t="shared" si="27"/>
        <v>0</v>
      </c>
      <c r="I102" s="501">
        <f t="shared" si="27"/>
        <v>0</v>
      </c>
      <c r="J102" s="501">
        <f t="shared" si="27"/>
        <v>0</v>
      </c>
      <c r="K102" s="535">
        <f t="shared" si="27"/>
        <v>35168</v>
      </c>
      <c r="L102" s="501">
        <f t="shared" si="27"/>
        <v>0</v>
      </c>
      <c r="M102" s="501">
        <f t="shared" si="27"/>
        <v>0</v>
      </c>
      <c r="N102" s="501">
        <f t="shared" si="27"/>
        <v>0</v>
      </c>
      <c r="O102" s="535">
        <f aca="true" t="shared" si="28" ref="O102:O115">SUM(K102:N102)</f>
        <v>35168</v>
      </c>
      <c r="P102" s="507">
        <f t="shared" si="27"/>
        <v>1.2</v>
      </c>
    </row>
    <row r="103" spans="1:16" ht="10.5" customHeight="1">
      <c r="A103" s="513"/>
      <c r="B103" s="514"/>
      <c r="C103" s="515"/>
      <c r="D103" s="468" t="s">
        <v>866</v>
      </c>
      <c r="E103" s="501">
        <f>9520+16303</f>
        <v>25823</v>
      </c>
      <c r="F103" s="501">
        <v>7024</v>
      </c>
      <c r="G103" s="501">
        <f t="shared" si="27"/>
        <v>1122</v>
      </c>
      <c r="H103" s="501">
        <f t="shared" si="27"/>
        <v>0</v>
      </c>
      <c r="I103" s="501">
        <f t="shared" si="27"/>
        <v>0</v>
      </c>
      <c r="J103" s="501">
        <f t="shared" si="27"/>
        <v>0</v>
      </c>
      <c r="K103" s="535">
        <f>K107+K111</f>
        <v>33969</v>
      </c>
      <c r="L103" s="501">
        <f t="shared" si="27"/>
        <v>0</v>
      </c>
      <c r="M103" s="501">
        <f t="shared" si="27"/>
        <v>0</v>
      </c>
      <c r="N103" s="501">
        <f t="shared" si="27"/>
        <v>0</v>
      </c>
      <c r="O103" s="535">
        <f t="shared" si="28"/>
        <v>33969</v>
      </c>
      <c r="P103" s="507">
        <f t="shared" si="27"/>
        <v>1.2</v>
      </c>
    </row>
    <row r="104" spans="1:16" ht="10.5" customHeight="1">
      <c r="A104" s="513"/>
      <c r="B104" s="514"/>
      <c r="C104" s="515" t="s">
        <v>631</v>
      </c>
      <c r="D104" s="690" t="s">
        <v>872</v>
      </c>
      <c r="E104" s="501"/>
      <c r="F104" s="501"/>
      <c r="G104" s="501"/>
      <c r="H104" s="501"/>
      <c r="I104" s="515"/>
      <c r="J104" s="501"/>
      <c r="K104" s="535"/>
      <c r="L104" s="501"/>
      <c r="M104" s="501"/>
      <c r="N104" s="501"/>
      <c r="O104" s="535"/>
      <c r="P104" s="570"/>
    </row>
    <row r="105" spans="1:16" ht="10.5" customHeight="1">
      <c r="A105" s="513"/>
      <c r="B105" s="514"/>
      <c r="C105" s="515"/>
      <c r="D105" s="468" t="s">
        <v>864</v>
      </c>
      <c r="E105" s="501">
        <v>12132</v>
      </c>
      <c r="F105" s="501">
        <v>3276</v>
      </c>
      <c r="G105" s="501">
        <v>795</v>
      </c>
      <c r="H105" s="501"/>
      <c r="I105" s="515"/>
      <c r="J105" s="501"/>
      <c r="K105" s="535">
        <f>SUM(E105:J105)</f>
        <v>16203</v>
      </c>
      <c r="L105" s="501"/>
      <c r="M105" s="501"/>
      <c r="N105" s="501"/>
      <c r="O105" s="535">
        <f t="shared" si="28"/>
        <v>16203</v>
      </c>
      <c r="P105" s="570">
        <v>1.2</v>
      </c>
    </row>
    <row r="106" spans="1:16" ht="10.5" customHeight="1">
      <c r="A106" s="513"/>
      <c r="B106" s="514"/>
      <c r="C106" s="515"/>
      <c r="D106" s="468" t="s">
        <v>865</v>
      </c>
      <c r="E106" s="501">
        <v>12132</v>
      </c>
      <c r="F106" s="501">
        <v>3276</v>
      </c>
      <c r="G106" s="501">
        <v>820</v>
      </c>
      <c r="H106" s="501"/>
      <c r="I106" s="515"/>
      <c r="J106" s="501"/>
      <c r="K106" s="535">
        <f aca="true" t="shared" si="29" ref="K106:K115">SUM(E106:J106)</f>
        <v>16228</v>
      </c>
      <c r="L106" s="501"/>
      <c r="M106" s="501"/>
      <c r="N106" s="501"/>
      <c r="O106" s="535">
        <f t="shared" si="28"/>
        <v>16228</v>
      </c>
      <c r="P106" s="570">
        <v>1.2</v>
      </c>
    </row>
    <row r="107" spans="1:16" ht="10.5" customHeight="1">
      <c r="A107" s="513"/>
      <c r="B107" s="514"/>
      <c r="C107" s="515"/>
      <c r="D107" s="468" t="s">
        <v>866</v>
      </c>
      <c r="E107" s="501">
        <f>E103-E111</f>
        <v>11611</v>
      </c>
      <c r="F107" s="501">
        <v>3260</v>
      </c>
      <c r="G107" s="501">
        <f>552+18</f>
        <v>570</v>
      </c>
      <c r="H107" s="501"/>
      <c r="I107" s="515"/>
      <c r="J107" s="501"/>
      <c r="K107" s="535">
        <f t="shared" si="29"/>
        <v>15441</v>
      </c>
      <c r="L107" s="501"/>
      <c r="M107" s="501"/>
      <c r="N107" s="501"/>
      <c r="O107" s="535">
        <f t="shared" si="28"/>
        <v>15441</v>
      </c>
      <c r="P107" s="570">
        <v>1.2</v>
      </c>
    </row>
    <row r="108" spans="1:16" ht="10.5" customHeight="1">
      <c r="A108" s="513"/>
      <c r="B108" s="514"/>
      <c r="C108" s="515" t="s">
        <v>632</v>
      </c>
      <c r="D108" s="517" t="s">
        <v>883</v>
      </c>
      <c r="E108" s="501"/>
      <c r="F108" s="501"/>
      <c r="G108" s="501"/>
      <c r="H108" s="501"/>
      <c r="I108" s="515"/>
      <c r="J108" s="501"/>
      <c r="K108" s="535"/>
      <c r="L108" s="501"/>
      <c r="M108" s="501"/>
      <c r="N108" s="501"/>
      <c r="O108" s="535"/>
      <c r="P108" s="507"/>
    </row>
    <row r="109" spans="1:16" ht="10.5" customHeight="1">
      <c r="A109" s="513"/>
      <c r="B109" s="514"/>
      <c r="C109" s="515"/>
      <c r="D109" s="468" t="s">
        <v>864</v>
      </c>
      <c r="E109" s="501">
        <v>14529</v>
      </c>
      <c r="F109" s="501">
        <v>3485</v>
      </c>
      <c r="G109" s="501">
        <v>705</v>
      </c>
      <c r="H109" s="501"/>
      <c r="I109" s="515"/>
      <c r="J109" s="501"/>
      <c r="K109" s="535">
        <f t="shared" si="29"/>
        <v>18719</v>
      </c>
      <c r="L109" s="501"/>
      <c r="M109" s="501"/>
      <c r="N109" s="501"/>
      <c r="O109" s="535">
        <f t="shared" si="28"/>
        <v>18719</v>
      </c>
      <c r="P109" s="507"/>
    </row>
    <row r="110" spans="1:16" ht="10.5" customHeight="1">
      <c r="A110" s="513"/>
      <c r="B110" s="514"/>
      <c r="C110" s="515"/>
      <c r="D110" s="468" t="s">
        <v>865</v>
      </c>
      <c r="E110" s="501">
        <v>14529</v>
      </c>
      <c r="F110" s="501">
        <v>3775</v>
      </c>
      <c r="G110" s="501">
        <v>636</v>
      </c>
      <c r="H110" s="501"/>
      <c r="I110" s="515"/>
      <c r="J110" s="501"/>
      <c r="K110" s="535">
        <f t="shared" si="29"/>
        <v>18940</v>
      </c>
      <c r="L110" s="501"/>
      <c r="M110" s="501"/>
      <c r="N110" s="501"/>
      <c r="O110" s="535">
        <f t="shared" si="28"/>
        <v>18940</v>
      </c>
      <c r="P110" s="507"/>
    </row>
    <row r="111" spans="1:16" ht="10.5" customHeight="1">
      <c r="A111" s="513"/>
      <c r="B111" s="514"/>
      <c r="C111" s="515"/>
      <c r="D111" s="468" t="s">
        <v>866</v>
      </c>
      <c r="E111" s="501">
        <v>14212</v>
      </c>
      <c r="F111" s="501">
        <f>F103-F107</f>
        <v>3764</v>
      </c>
      <c r="G111" s="501">
        <v>552</v>
      </c>
      <c r="H111" s="501"/>
      <c r="I111" s="515"/>
      <c r="J111" s="501"/>
      <c r="K111" s="535">
        <f t="shared" si="29"/>
        <v>18528</v>
      </c>
      <c r="L111" s="501"/>
      <c r="M111" s="501"/>
      <c r="N111" s="501"/>
      <c r="O111" s="535">
        <f t="shared" si="28"/>
        <v>18528</v>
      </c>
      <c r="P111" s="507"/>
    </row>
    <row r="112" spans="1:16" ht="10.5" customHeight="1">
      <c r="A112" s="513"/>
      <c r="B112" s="514" t="s">
        <v>318</v>
      </c>
      <c r="C112" s="515" t="s">
        <v>631</v>
      </c>
      <c r="D112" s="559" t="s">
        <v>555</v>
      </c>
      <c r="E112" s="501"/>
      <c r="F112" s="501"/>
      <c r="G112" s="501"/>
      <c r="H112" s="501"/>
      <c r="I112" s="515"/>
      <c r="J112" s="501"/>
      <c r="K112" s="535"/>
      <c r="L112" s="501"/>
      <c r="M112" s="501"/>
      <c r="N112" s="501"/>
      <c r="O112" s="535"/>
      <c r="P112" s="507"/>
    </row>
    <row r="113" spans="1:16" ht="10.5" customHeight="1">
      <c r="A113" s="513"/>
      <c r="B113" s="514"/>
      <c r="C113" s="515"/>
      <c r="D113" s="468" t="s">
        <v>864</v>
      </c>
      <c r="E113" s="501"/>
      <c r="F113" s="501"/>
      <c r="G113" s="501">
        <v>1400</v>
      </c>
      <c r="H113" s="501"/>
      <c r="I113" s="515"/>
      <c r="J113" s="501"/>
      <c r="K113" s="535">
        <f t="shared" si="29"/>
        <v>1400</v>
      </c>
      <c r="L113" s="501"/>
      <c r="M113" s="501"/>
      <c r="N113" s="501"/>
      <c r="O113" s="535">
        <f t="shared" si="28"/>
        <v>1400</v>
      </c>
      <c r="P113" s="507"/>
    </row>
    <row r="114" spans="1:16" ht="10.5" customHeight="1">
      <c r="A114" s="513"/>
      <c r="B114" s="514"/>
      <c r="C114" s="515"/>
      <c r="D114" s="468" t="s">
        <v>865</v>
      </c>
      <c r="E114" s="501"/>
      <c r="F114" s="501"/>
      <c r="G114" s="501">
        <v>1400</v>
      </c>
      <c r="H114" s="501"/>
      <c r="I114" s="515"/>
      <c r="J114" s="501"/>
      <c r="K114" s="535">
        <f t="shared" si="29"/>
        <v>1400</v>
      </c>
      <c r="L114" s="501"/>
      <c r="M114" s="501"/>
      <c r="N114" s="501"/>
      <c r="O114" s="535">
        <f t="shared" si="28"/>
        <v>1400</v>
      </c>
      <c r="P114" s="507"/>
    </row>
    <row r="115" spans="1:16" ht="10.5" customHeight="1" thickBot="1">
      <c r="A115" s="571"/>
      <c r="B115" s="543"/>
      <c r="C115" s="572"/>
      <c r="D115" s="573" t="s">
        <v>866</v>
      </c>
      <c r="E115" s="574"/>
      <c r="F115" s="574"/>
      <c r="G115" s="574">
        <v>1400</v>
      </c>
      <c r="H115" s="574"/>
      <c r="I115" s="572"/>
      <c r="J115" s="574"/>
      <c r="K115" s="575">
        <f t="shared" si="29"/>
        <v>1400</v>
      </c>
      <c r="L115" s="574"/>
      <c r="M115" s="574"/>
      <c r="N115" s="574"/>
      <c r="O115" s="575">
        <f t="shared" si="28"/>
        <v>1400</v>
      </c>
      <c r="P115" s="576"/>
    </row>
    <row r="116" spans="1:16" s="24" customFormat="1" ht="11.25" customHeight="1">
      <c r="A116" s="550" t="s">
        <v>325</v>
      </c>
      <c r="B116" s="508"/>
      <c r="C116" s="552"/>
      <c r="D116" s="553" t="s">
        <v>701</v>
      </c>
      <c r="E116" s="537"/>
      <c r="F116" s="537"/>
      <c r="G116" s="537"/>
      <c r="H116" s="537"/>
      <c r="I116" s="577"/>
      <c r="J116" s="537"/>
      <c r="K116" s="537"/>
      <c r="L116" s="537"/>
      <c r="M116" s="537"/>
      <c r="N116" s="537"/>
      <c r="O116" s="522"/>
      <c r="P116" s="512"/>
    </row>
    <row r="117" spans="1:16" s="24" customFormat="1" ht="11.25" customHeight="1">
      <c r="A117" s="513"/>
      <c r="B117" s="514"/>
      <c r="C117" s="557"/>
      <c r="D117" s="468" t="s">
        <v>864</v>
      </c>
      <c r="E117" s="535">
        <f aca="true" t="shared" si="30" ref="E117:J117">E121+E125+E129+E133</f>
        <v>466</v>
      </c>
      <c r="F117" s="535">
        <f t="shared" si="30"/>
        <v>146</v>
      </c>
      <c r="G117" s="535">
        <f t="shared" si="30"/>
        <v>42009</v>
      </c>
      <c r="H117" s="535">
        <f t="shared" si="30"/>
        <v>0</v>
      </c>
      <c r="I117" s="535">
        <f t="shared" si="30"/>
        <v>283</v>
      </c>
      <c r="J117" s="535">
        <f t="shared" si="30"/>
        <v>0</v>
      </c>
      <c r="K117" s="535">
        <f>SUM(E117:J117)</f>
        <v>42904</v>
      </c>
      <c r="L117" s="535"/>
      <c r="M117" s="535"/>
      <c r="N117" s="535"/>
      <c r="O117" s="569">
        <f>SUM(K117:N117)</f>
        <v>42904</v>
      </c>
      <c r="P117" s="507"/>
    </row>
    <row r="118" spans="1:16" s="24" customFormat="1" ht="11.25" customHeight="1">
      <c r="A118" s="513"/>
      <c r="B118" s="514"/>
      <c r="C118" s="557"/>
      <c r="D118" s="468" t="s">
        <v>865</v>
      </c>
      <c r="E118" s="535">
        <f aca="true" t="shared" si="31" ref="E118:J119">E122+E126+E130+E134</f>
        <v>466</v>
      </c>
      <c r="F118" s="535">
        <f t="shared" si="31"/>
        <v>146</v>
      </c>
      <c r="G118" s="535">
        <f t="shared" si="31"/>
        <v>37369</v>
      </c>
      <c r="H118" s="535">
        <f t="shared" si="31"/>
        <v>0</v>
      </c>
      <c r="I118" s="535">
        <f t="shared" si="31"/>
        <v>283</v>
      </c>
      <c r="J118" s="535">
        <f t="shared" si="31"/>
        <v>0</v>
      </c>
      <c r="K118" s="535">
        <f aca="true" t="shared" si="32" ref="K118:K143">SUM(E118:J118)</f>
        <v>38264</v>
      </c>
      <c r="L118" s="535"/>
      <c r="M118" s="535"/>
      <c r="N118" s="535"/>
      <c r="O118" s="569">
        <f aca="true" t="shared" si="33" ref="O118:O143">SUM(K118:N118)</f>
        <v>38264</v>
      </c>
      <c r="P118" s="507"/>
    </row>
    <row r="119" spans="1:16" s="24" customFormat="1" ht="11.25" customHeight="1">
      <c r="A119" s="513"/>
      <c r="B119" s="514"/>
      <c r="C119" s="557"/>
      <c r="D119" s="468" t="s">
        <v>866</v>
      </c>
      <c r="E119" s="535">
        <f t="shared" si="31"/>
        <v>0</v>
      </c>
      <c r="F119" s="535">
        <f t="shared" si="31"/>
        <v>0</v>
      </c>
      <c r="G119" s="535">
        <f>G123+G127+G131+G135</f>
        <v>30158</v>
      </c>
      <c r="H119" s="535">
        <f t="shared" si="31"/>
        <v>0</v>
      </c>
      <c r="I119" s="535">
        <f t="shared" si="31"/>
        <v>0</v>
      </c>
      <c r="J119" s="535">
        <f t="shared" si="31"/>
        <v>0</v>
      </c>
      <c r="K119" s="535">
        <f>SUM(E119:J119)</f>
        <v>30158</v>
      </c>
      <c r="L119" s="535"/>
      <c r="M119" s="535"/>
      <c r="N119" s="535"/>
      <c r="O119" s="569">
        <f t="shared" si="33"/>
        <v>30158</v>
      </c>
      <c r="P119" s="507"/>
    </row>
    <row r="120" spans="1:16" ht="11.25" customHeight="1">
      <c r="A120" s="513"/>
      <c r="B120" s="578" t="s">
        <v>316</v>
      </c>
      <c r="C120" s="515" t="s">
        <v>631</v>
      </c>
      <c r="D120" s="516" t="s">
        <v>497</v>
      </c>
      <c r="E120" s="501"/>
      <c r="F120" s="501"/>
      <c r="G120" s="516"/>
      <c r="H120" s="501"/>
      <c r="I120" s="515"/>
      <c r="J120" s="501"/>
      <c r="K120" s="535"/>
      <c r="L120" s="501"/>
      <c r="M120" s="501"/>
      <c r="N120" s="501"/>
      <c r="O120" s="569"/>
      <c r="P120" s="507"/>
    </row>
    <row r="121" spans="1:16" ht="11.25" customHeight="1">
      <c r="A121" s="513"/>
      <c r="B121" s="578"/>
      <c r="C121" s="515"/>
      <c r="D121" s="468" t="s">
        <v>864</v>
      </c>
      <c r="E121" s="501">
        <v>466</v>
      </c>
      <c r="F121" s="501">
        <v>146</v>
      </c>
      <c r="G121" s="516">
        <v>17775</v>
      </c>
      <c r="H121" s="501"/>
      <c r="I121" s="515">
        <v>283</v>
      </c>
      <c r="J121" s="501"/>
      <c r="K121" s="535">
        <f t="shared" si="32"/>
        <v>18670</v>
      </c>
      <c r="L121" s="501"/>
      <c r="M121" s="501"/>
      <c r="N121" s="501"/>
      <c r="O121" s="569">
        <f t="shared" si="33"/>
        <v>18670</v>
      </c>
      <c r="P121" s="507"/>
    </row>
    <row r="122" spans="1:16" ht="11.25" customHeight="1">
      <c r="A122" s="513"/>
      <c r="B122" s="578"/>
      <c r="C122" s="515"/>
      <c r="D122" s="468" t="s">
        <v>865</v>
      </c>
      <c r="E122" s="501">
        <v>466</v>
      </c>
      <c r="F122" s="501">
        <v>146</v>
      </c>
      <c r="G122" s="516">
        <v>15502</v>
      </c>
      <c r="H122" s="501"/>
      <c r="I122" s="515">
        <v>283</v>
      </c>
      <c r="J122" s="501"/>
      <c r="K122" s="535">
        <f t="shared" si="32"/>
        <v>16397</v>
      </c>
      <c r="L122" s="501"/>
      <c r="M122" s="501"/>
      <c r="N122" s="501"/>
      <c r="O122" s="569">
        <f t="shared" si="33"/>
        <v>16397</v>
      </c>
      <c r="P122" s="507"/>
    </row>
    <row r="123" spans="1:16" ht="11.25" customHeight="1">
      <c r="A123" s="513"/>
      <c r="B123" s="578"/>
      <c r="C123" s="515"/>
      <c r="D123" s="468" t="s">
        <v>866</v>
      </c>
      <c r="E123" s="501">
        <v>0</v>
      </c>
      <c r="F123" s="501">
        <v>0</v>
      </c>
      <c r="G123" s="516">
        <f>5367+9148</f>
        <v>14515</v>
      </c>
      <c r="H123" s="501"/>
      <c r="I123" s="515">
        <v>0</v>
      </c>
      <c r="J123" s="501"/>
      <c r="K123" s="535">
        <f>SUM(E123:J123)</f>
        <v>14515</v>
      </c>
      <c r="L123" s="501"/>
      <c r="M123" s="501"/>
      <c r="N123" s="501"/>
      <c r="O123" s="569">
        <f t="shared" si="33"/>
        <v>14515</v>
      </c>
      <c r="P123" s="507"/>
    </row>
    <row r="124" spans="1:16" ht="11.25" customHeight="1">
      <c r="A124" s="513"/>
      <c r="B124" s="578" t="s">
        <v>318</v>
      </c>
      <c r="C124" s="515" t="s">
        <v>631</v>
      </c>
      <c r="D124" s="516" t="s">
        <v>483</v>
      </c>
      <c r="E124" s="560"/>
      <c r="F124" s="560"/>
      <c r="G124" s="516"/>
      <c r="H124" s="501"/>
      <c r="I124" s="515"/>
      <c r="J124" s="501"/>
      <c r="K124" s="535"/>
      <c r="L124" s="501"/>
      <c r="M124" s="501"/>
      <c r="N124" s="501"/>
      <c r="O124" s="569"/>
      <c r="P124" s="507"/>
    </row>
    <row r="125" spans="1:16" ht="11.25" customHeight="1">
      <c r="A125" s="513"/>
      <c r="B125" s="578"/>
      <c r="C125" s="515"/>
      <c r="D125" s="468" t="s">
        <v>864</v>
      </c>
      <c r="E125" s="560"/>
      <c r="F125" s="560"/>
      <c r="G125" s="516">
        <v>15000</v>
      </c>
      <c r="H125" s="501"/>
      <c r="I125" s="515"/>
      <c r="J125" s="501"/>
      <c r="K125" s="535">
        <f t="shared" si="32"/>
        <v>15000</v>
      </c>
      <c r="L125" s="501"/>
      <c r="M125" s="501"/>
      <c r="N125" s="501"/>
      <c r="O125" s="569">
        <f t="shared" si="33"/>
        <v>15000</v>
      </c>
      <c r="P125" s="507"/>
    </row>
    <row r="126" spans="1:16" ht="11.25" customHeight="1">
      <c r="A126" s="513"/>
      <c r="B126" s="578"/>
      <c r="C126" s="515"/>
      <c r="D126" s="468" t="s">
        <v>865</v>
      </c>
      <c r="E126" s="560"/>
      <c r="F126" s="560"/>
      <c r="G126" s="516">
        <v>14266</v>
      </c>
      <c r="H126" s="501"/>
      <c r="I126" s="515"/>
      <c r="J126" s="501"/>
      <c r="K126" s="535">
        <f t="shared" si="32"/>
        <v>14266</v>
      </c>
      <c r="L126" s="501"/>
      <c r="M126" s="501"/>
      <c r="N126" s="501"/>
      <c r="O126" s="569">
        <f t="shared" si="33"/>
        <v>14266</v>
      </c>
      <c r="P126" s="507"/>
    </row>
    <row r="127" spans="1:16" ht="11.25" customHeight="1">
      <c r="A127" s="513"/>
      <c r="B127" s="578"/>
      <c r="C127" s="515"/>
      <c r="D127" s="468" t="s">
        <v>866</v>
      </c>
      <c r="E127" s="560"/>
      <c r="F127" s="560"/>
      <c r="G127" s="516">
        <v>10644</v>
      </c>
      <c r="H127" s="501"/>
      <c r="I127" s="515"/>
      <c r="J127" s="501"/>
      <c r="K127" s="535">
        <f t="shared" si="32"/>
        <v>10644</v>
      </c>
      <c r="L127" s="501"/>
      <c r="M127" s="501"/>
      <c r="N127" s="501"/>
      <c r="O127" s="569">
        <f t="shared" si="33"/>
        <v>10644</v>
      </c>
      <c r="P127" s="507"/>
    </row>
    <row r="128" spans="1:16" ht="24.75" customHeight="1">
      <c r="A128" s="513"/>
      <c r="B128" s="578" t="s">
        <v>319</v>
      </c>
      <c r="C128" s="515" t="s">
        <v>631</v>
      </c>
      <c r="D128" s="1935" t="s">
        <v>554</v>
      </c>
      <c r="E128" s="1936"/>
      <c r="F128" s="1937"/>
      <c r="G128" s="516"/>
      <c r="H128" s="501"/>
      <c r="I128" s="515"/>
      <c r="J128" s="501"/>
      <c r="K128" s="535"/>
      <c r="L128" s="501"/>
      <c r="M128" s="501"/>
      <c r="N128" s="501"/>
      <c r="O128" s="569"/>
      <c r="P128" s="507"/>
    </row>
    <row r="129" spans="1:16" ht="11.25" customHeight="1">
      <c r="A129" s="513"/>
      <c r="B129" s="578"/>
      <c r="C129" s="515"/>
      <c r="D129" s="468" t="s">
        <v>864</v>
      </c>
      <c r="E129" s="560"/>
      <c r="F129" s="560"/>
      <c r="G129" s="516">
        <v>1500</v>
      </c>
      <c r="H129" s="501"/>
      <c r="I129" s="515"/>
      <c r="J129" s="501"/>
      <c r="K129" s="535">
        <f t="shared" si="32"/>
        <v>1500</v>
      </c>
      <c r="L129" s="501"/>
      <c r="M129" s="501"/>
      <c r="N129" s="501"/>
      <c r="O129" s="569">
        <f t="shared" si="33"/>
        <v>1500</v>
      </c>
      <c r="P129" s="507"/>
    </row>
    <row r="130" spans="1:16" ht="11.25" customHeight="1">
      <c r="A130" s="513"/>
      <c r="B130" s="578"/>
      <c r="C130" s="515"/>
      <c r="D130" s="468" t="s">
        <v>865</v>
      </c>
      <c r="E130" s="560"/>
      <c r="F130" s="560"/>
      <c r="G130" s="516">
        <v>1564</v>
      </c>
      <c r="H130" s="501"/>
      <c r="I130" s="515"/>
      <c r="J130" s="501"/>
      <c r="K130" s="535">
        <f t="shared" si="32"/>
        <v>1564</v>
      </c>
      <c r="L130" s="501"/>
      <c r="M130" s="501"/>
      <c r="N130" s="501"/>
      <c r="O130" s="569">
        <f t="shared" si="33"/>
        <v>1564</v>
      </c>
      <c r="P130" s="507"/>
    </row>
    <row r="131" spans="1:16" ht="11.25" customHeight="1">
      <c r="A131" s="513"/>
      <c r="B131" s="578"/>
      <c r="C131" s="515"/>
      <c r="D131" s="468" t="s">
        <v>866</v>
      </c>
      <c r="E131" s="560"/>
      <c r="F131" s="560"/>
      <c r="G131" s="516">
        <v>570</v>
      </c>
      <c r="H131" s="501"/>
      <c r="I131" s="515"/>
      <c r="J131" s="501"/>
      <c r="K131" s="535">
        <f t="shared" si="32"/>
        <v>570</v>
      </c>
      <c r="L131" s="501"/>
      <c r="M131" s="501"/>
      <c r="N131" s="501"/>
      <c r="O131" s="569">
        <f t="shared" si="33"/>
        <v>570</v>
      </c>
      <c r="P131" s="507"/>
    </row>
    <row r="132" spans="1:16" ht="9.75" customHeight="1">
      <c r="A132" s="513"/>
      <c r="B132" s="578" t="s">
        <v>321</v>
      </c>
      <c r="C132" s="515"/>
      <c r="D132" s="579" t="s">
        <v>284</v>
      </c>
      <c r="E132" s="501"/>
      <c r="F132" s="501"/>
      <c r="G132" s="516"/>
      <c r="H132" s="501"/>
      <c r="I132" s="515"/>
      <c r="J132" s="501"/>
      <c r="K132" s="535"/>
      <c r="L132" s="501"/>
      <c r="M132" s="501"/>
      <c r="N132" s="501"/>
      <c r="O132" s="569"/>
      <c r="P132" s="507"/>
    </row>
    <row r="133" spans="1:16" ht="9.75" customHeight="1">
      <c r="A133" s="513"/>
      <c r="B133" s="578"/>
      <c r="C133" s="515"/>
      <c r="D133" s="468" t="s">
        <v>864</v>
      </c>
      <c r="E133" s="501">
        <f>E137+E141</f>
        <v>0</v>
      </c>
      <c r="F133" s="501">
        <f aca="true" t="shared" si="34" ref="F133:N133">F137+F141</f>
        <v>0</v>
      </c>
      <c r="G133" s="501">
        <f t="shared" si="34"/>
        <v>7734</v>
      </c>
      <c r="H133" s="501">
        <f t="shared" si="34"/>
        <v>0</v>
      </c>
      <c r="I133" s="501">
        <f t="shared" si="34"/>
        <v>0</v>
      </c>
      <c r="J133" s="501">
        <f t="shared" si="34"/>
        <v>0</v>
      </c>
      <c r="K133" s="535">
        <f t="shared" si="32"/>
        <v>7734</v>
      </c>
      <c r="L133" s="501">
        <f t="shared" si="34"/>
        <v>0</v>
      </c>
      <c r="M133" s="501">
        <f t="shared" si="34"/>
        <v>0</v>
      </c>
      <c r="N133" s="501">
        <f t="shared" si="34"/>
        <v>0</v>
      </c>
      <c r="O133" s="569">
        <f t="shared" si="33"/>
        <v>7734</v>
      </c>
      <c r="P133" s="507"/>
    </row>
    <row r="134" spans="1:16" ht="9.75" customHeight="1">
      <c r="A134" s="513"/>
      <c r="B134" s="578"/>
      <c r="C134" s="515"/>
      <c r="D134" s="468" t="s">
        <v>865</v>
      </c>
      <c r="E134" s="501">
        <f aca="true" t="shared" si="35" ref="E134:N135">E138+E142</f>
        <v>0</v>
      </c>
      <c r="F134" s="501">
        <f t="shared" si="35"/>
        <v>0</v>
      </c>
      <c r="G134" s="501">
        <f t="shared" si="35"/>
        <v>6037</v>
      </c>
      <c r="H134" s="501">
        <f t="shared" si="35"/>
        <v>0</v>
      </c>
      <c r="I134" s="501">
        <f t="shared" si="35"/>
        <v>0</v>
      </c>
      <c r="J134" s="501">
        <f t="shared" si="35"/>
        <v>0</v>
      </c>
      <c r="K134" s="535">
        <f t="shared" si="32"/>
        <v>6037</v>
      </c>
      <c r="L134" s="501">
        <f t="shared" si="35"/>
        <v>0</v>
      </c>
      <c r="M134" s="501">
        <f t="shared" si="35"/>
        <v>0</v>
      </c>
      <c r="N134" s="501">
        <f t="shared" si="35"/>
        <v>0</v>
      </c>
      <c r="O134" s="569">
        <f t="shared" si="33"/>
        <v>6037</v>
      </c>
      <c r="P134" s="507"/>
    </row>
    <row r="135" spans="1:16" ht="9.75" customHeight="1">
      <c r="A135" s="513"/>
      <c r="B135" s="578"/>
      <c r="C135" s="515"/>
      <c r="D135" s="468" t="s">
        <v>866</v>
      </c>
      <c r="E135" s="501">
        <f t="shared" si="35"/>
        <v>0</v>
      </c>
      <c r="F135" s="501">
        <f t="shared" si="35"/>
        <v>0</v>
      </c>
      <c r="G135" s="501">
        <v>4429</v>
      </c>
      <c r="H135" s="501">
        <f t="shared" si="35"/>
        <v>0</v>
      </c>
      <c r="I135" s="501">
        <f t="shared" si="35"/>
        <v>0</v>
      </c>
      <c r="J135" s="501">
        <f t="shared" si="35"/>
        <v>0</v>
      </c>
      <c r="K135" s="535">
        <f t="shared" si="32"/>
        <v>4429</v>
      </c>
      <c r="L135" s="501">
        <f t="shared" si="35"/>
        <v>0</v>
      </c>
      <c r="M135" s="501">
        <f t="shared" si="35"/>
        <v>0</v>
      </c>
      <c r="N135" s="501">
        <f t="shared" si="35"/>
        <v>0</v>
      </c>
      <c r="O135" s="569">
        <f t="shared" si="33"/>
        <v>4429</v>
      </c>
      <c r="P135" s="507"/>
    </row>
    <row r="136" spans="1:16" s="56" customFormat="1" ht="11.25" customHeight="1">
      <c r="A136" s="513"/>
      <c r="B136" s="578"/>
      <c r="C136" s="515" t="s">
        <v>631</v>
      </c>
      <c r="D136" s="690" t="s">
        <v>886</v>
      </c>
      <c r="E136" s="501"/>
      <c r="F136" s="501"/>
      <c r="G136" s="516"/>
      <c r="H136" s="501"/>
      <c r="I136" s="515"/>
      <c r="J136" s="501"/>
      <c r="K136" s="535"/>
      <c r="L136" s="501"/>
      <c r="M136" s="501"/>
      <c r="N136" s="501"/>
      <c r="O136" s="569"/>
      <c r="P136" s="570"/>
    </row>
    <row r="137" spans="1:16" s="56" customFormat="1" ht="9.75" customHeight="1">
      <c r="A137" s="513"/>
      <c r="B137" s="578"/>
      <c r="C137" s="515"/>
      <c r="D137" s="468" t="s">
        <v>864</v>
      </c>
      <c r="E137" s="501"/>
      <c r="F137" s="501"/>
      <c r="G137" s="516">
        <v>6375</v>
      </c>
      <c r="H137" s="501"/>
      <c r="I137" s="515"/>
      <c r="J137" s="501"/>
      <c r="K137" s="535">
        <f t="shared" si="32"/>
        <v>6375</v>
      </c>
      <c r="L137" s="501"/>
      <c r="M137" s="501"/>
      <c r="N137" s="501"/>
      <c r="O137" s="569">
        <f t="shared" si="33"/>
        <v>6375</v>
      </c>
      <c r="P137" s="570"/>
    </row>
    <row r="138" spans="1:16" s="56" customFormat="1" ht="9.75" customHeight="1">
      <c r="A138" s="513"/>
      <c r="B138" s="578"/>
      <c r="C138" s="515"/>
      <c r="D138" s="468" t="s">
        <v>865</v>
      </c>
      <c r="E138" s="501"/>
      <c r="F138" s="501"/>
      <c r="G138" s="516">
        <v>4842</v>
      </c>
      <c r="H138" s="501"/>
      <c r="I138" s="515"/>
      <c r="J138" s="501"/>
      <c r="K138" s="535">
        <f t="shared" si="32"/>
        <v>4842</v>
      </c>
      <c r="L138" s="501"/>
      <c r="M138" s="501"/>
      <c r="N138" s="501"/>
      <c r="O138" s="569">
        <f t="shared" si="33"/>
        <v>4842</v>
      </c>
      <c r="P138" s="570"/>
    </row>
    <row r="139" spans="1:16" s="56" customFormat="1" ht="9.75" customHeight="1">
      <c r="A139" s="513"/>
      <c r="B139" s="578"/>
      <c r="C139" s="515"/>
      <c r="D139" s="468" t="s">
        <v>866</v>
      </c>
      <c r="E139" s="501"/>
      <c r="F139" s="501"/>
      <c r="G139" s="516">
        <f>G135-G143</f>
        <v>3698</v>
      </c>
      <c r="H139" s="501"/>
      <c r="I139" s="515"/>
      <c r="J139" s="501"/>
      <c r="K139" s="535">
        <f t="shared" si="32"/>
        <v>3698</v>
      </c>
      <c r="L139" s="501"/>
      <c r="M139" s="501"/>
      <c r="N139" s="501"/>
      <c r="O139" s="569">
        <f t="shared" si="33"/>
        <v>3698</v>
      </c>
      <c r="P139" s="570"/>
    </row>
    <row r="140" spans="1:16" s="56" customFormat="1" ht="12" customHeight="1">
      <c r="A140" s="513"/>
      <c r="B140" s="578"/>
      <c r="C140" s="515" t="s">
        <v>632</v>
      </c>
      <c r="D140" s="517" t="s">
        <v>887</v>
      </c>
      <c r="E140" s="501"/>
      <c r="F140" s="501"/>
      <c r="G140" s="516"/>
      <c r="H140" s="501"/>
      <c r="I140" s="515"/>
      <c r="J140" s="501"/>
      <c r="K140" s="535"/>
      <c r="L140" s="501"/>
      <c r="M140" s="501"/>
      <c r="N140" s="501"/>
      <c r="O140" s="569"/>
      <c r="P140" s="570"/>
    </row>
    <row r="141" spans="1:16" s="56" customFormat="1" ht="9.75" customHeight="1">
      <c r="A141" s="513"/>
      <c r="B141" s="578"/>
      <c r="C141" s="515"/>
      <c r="D141" s="468" t="s">
        <v>864</v>
      </c>
      <c r="E141" s="501"/>
      <c r="F141" s="501"/>
      <c r="G141" s="516">
        <v>1359</v>
      </c>
      <c r="H141" s="501"/>
      <c r="I141" s="515"/>
      <c r="J141" s="501"/>
      <c r="K141" s="535">
        <f t="shared" si="32"/>
        <v>1359</v>
      </c>
      <c r="L141" s="501"/>
      <c r="M141" s="501"/>
      <c r="N141" s="501"/>
      <c r="O141" s="569">
        <f t="shared" si="33"/>
        <v>1359</v>
      </c>
      <c r="P141" s="570"/>
    </row>
    <row r="142" spans="1:16" s="56" customFormat="1" ht="9.75" customHeight="1">
      <c r="A142" s="513"/>
      <c r="B142" s="578"/>
      <c r="C142" s="515"/>
      <c r="D142" s="468" t="s">
        <v>865</v>
      </c>
      <c r="E142" s="501"/>
      <c r="F142" s="501"/>
      <c r="G142" s="516">
        <v>1195</v>
      </c>
      <c r="H142" s="501"/>
      <c r="I142" s="515"/>
      <c r="J142" s="501"/>
      <c r="K142" s="535">
        <f t="shared" si="32"/>
        <v>1195</v>
      </c>
      <c r="L142" s="501"/>
      <c r="M142" s="501"/>
      <c r="N142" s="501"/>
      <c r="O142" s="569">
        <f t="shared" si="33"/>
        <v>1195</v>
      </c>
      <c r="P142" s="570"/>
    </row>
    <row r="143" spans="1:16" s="56" customFormat="1" ht="9.75" customHeight="1" thickBot="1">
      <c r="A143" s="550"/>
      <c r="B143" s="580"/>
      <c r="C143" s="509"/>
      <c r="D143" s="520" t="s">
        <v>866</v>
      </c>
      <c r="E143" s="510"/>
      <c r="F143" s="510"/>
      <c r="G143" s="511">
        <f>243+39+174+245+30</f>
        <v>731</v>
      </c>
      <c r="H143" s="510"/>
      <c r="I143" s="509"/>
      <c r="J143" s="510"/>
      <c r="K143" s="581">
        <f t="shared" si="32"/>
        <v>731</v>
      </c>
      <c r="L143" s="582"/>
      <c r="M143" s="582"/>
      <c r="N143" s="582"/>
      <c r="O143" s="583">
        <f t="shared" si="33"/>
        <v>731</v>
      </c>
      <c r="P143" s="584"/>
    </row>
    <row r="144" spans="1:16" ht="14.25" customHeight="1" thickTop="1">
      <c r="A144" s="1939" t="s">
        <v>783</v>
      </c>
      <c r="B144" s="1940"/>
      <c r="C144" s="1940"/>
      <c r="D144" s="1940"/>
      <c r="E144" s="1940"/>
      <c r="F144" s="1941"/>
      <c r="G144" s="585"/>
      <c r="H144" s="585"/>
      <c r="I144" s="585"/>
      <c r="J144" s="585"/>
      <c r="K144" s="526"/>
      <c r="L144" s="585"/>
      <c r="M144" s="585"/>
      <c r="N144" s="585"/>
      <c r="O144" s="586"/>
      <c r="P144" s="587"/>
    </row>
    <row r="145" spans="1:16" ht="11.25" customHeight="1">
      <c r="A145" s="588"/>
      <c r="B145" s="589"/>
      <c r="C145" s="533"/>
      <c r="D145" s="461" t="s">
        <v>864</v>
      </c>
      <c r="E145" s="502">
        <f>E77+E97+E117</f>
        <v>205311</v>
      </c>
      <c r="F145" s="502">
        <f aca="true" t="shared" si="36" ref="F145:P145">F77+F97+F117</f>
        <v>54733</v>
      </c>
      <c r="G145" s="502">
        <f t="shared" si="36"/>
        <v>88009</v>
      </c>
      <c r="H145" s="502">
        <f t="shared" si="36"/>
        <v>0</v>
      </c>
      <c r="I145" s="502">
        <f t="shared" si="36"/>
        <v>283</v>
      </c>
      <c r="J145" s="502">
        <f t="shared" si="36"/>
        <v>0</v>
      </c>
      <c r="K145" s="616">
        <f t="shared" si="36"/>
        <v>348336</v>
      </c>
      <c r="L145" s="502">
        <f t="shared" si="36"/>
        <v>7335</v>
      </c>
      <c r="M145" s="502">
        <f t="shared" si="36"/>
        <v>0</v>
      </c>
      <c r="N145" s="502">
        <f t="shared" si="36"/>
        <v>0</v>
      </c>
      <c r="O145" s="616">
        <f t="shared" si="36"/>
        <v>355671</v>
      </c>
      <c r="P145" s="506">
        <f t="shared" si="36"/>
        <v>60.00000000000001</v>
      </c>
    </row>
    <row r="146" spans="1:16" ht="11.25" customHeight="1">
      <c r="A146" s="588"/>
      <c r="B146" s="589"/>
      <c r="C146" s="831"/>
      <c r="D146" s="461" t="s">
        <v>865</v>
      </c>
      <c r="E146" s="502">
        <f aca="true" t="shared" si="37" ref="E146:P147">E78+E98+E118</f>
        <v>206472</v>
      </c>
      <c r="F146" s="502">
        <f t="shared" si="37"/>
        <v>55390</v>
      </c>
      <c r="G146" s="502">
        <f t="shared" si="37"/>
        <v>87958</v>
      </c>
      <c r="H146" s="502">
        <f t="shared" si="37"/>
        <v>0</v>
      </c>
      <c r="I146" s="502">
        <f t="shared" si="37"/>
        <v>283</v>
      </c>
      <c r="J146" s="502">
        <f t="shared" si="37"/>
        <v>0</v>
      </c>
      <c r="K146" s="616">
        <f t="shared" si="37"/>
        <v>350103</v>
      </c>
      <c r="L146" s="502">
        <f t="shared" si="37"/>
        <v>7373</v>
      </c>
      <c r="M146" s="502">
        <f t="shared" si="37"/>
        <v>0</v>
      </c>
      <c r="N146" s="502">
        <f t="shared" si="37"/>
        <v>0</v>
      </c>
      <c r="O146" s="616">
        <f t="shared" si="37"/>
        <v>357476</v>
      </c>
      <c r="P146" s="506">
        <f t="shared" si="37"/>
        <v>58.00000000000001</v>
      </c>
    </row>
    <row r="147" spans="1:16" ht="11.25" customHeight="1" thickBot="1">
      <c r="A147" s="491"/>
      <c r="B147" s="536"/>
      <c r="C147" s="494"/>
      <c r="D147" s="520" t="s">
        <v>866</v>
      </c>
      <c r="E147" s="510">
        <f t="shared" si="37"/>
        <v>190983</v>
      </c>
      <c r="F147" s="510">
        <f t="shared" si="37"/>
        <v>50119</v>
      </c>
      <c r="G147" s="510">
        <f t="shared" si="37"/>
        <v>69923</v>
      </c>
      <c r="H147" s="510">
        <f t="shared" si="37"/>
        <v>0</v>
      </c>
      <c r="I147" s="510">
        <f t="shared" si="37"/>
        <v>0</v>
      </c>
      <c r="J147" s="510">
        <f t="shared" si="37"/>
        <v>0</v>
      </c>
      <c r="K147" s="537">
        <f>K79+K99+K119</f>
        <v>311025</v>
      </c>
      <c r="L147" s="510">
        <f t="shared" si="37"/>
        <v>7267</v>
      </c>
      <c r="M147" s="510">
        <f t="shared" si="37"/>
        <v>0</v>
      </c>
      <c r="N147" s="510">
        <f t="shared" si="37"/>
        <v>0</v>
      </c>
      <c r="O147" s="537">
        <f t="shared" si="37"/>
        <v>318292</v>
      </c>
      <c r="P147" s="512">
        <f t="shared" si="37"/>
        <v>57.00000000000001</v>
      </c>
    </row>
    <row r="148" spans="1:16" s="56" customFormat="1" ht="10.5" customHeight="1">
      <c r="A148" s="1925" t="s">
        <v>872</v>
      </c>
      <c r="B148" s="1926"/>
      <c r="C148" s="1926"/>
      <c r="D148" s="1926"/>
      <c r="E148" s="538"/>
      <c r="F148" s="538"/>
      <c r="G148" s="538"/>
      <c r="H148" s="538"/>
      <c r="I148" s="538"/>
      <c r="J148" s="538"/>
      <c r="K148" s="540"/>
      <c r="L148" s="538"/>
      <c r="M148" s="538"/>
      <c r="N148" s="538"/>
      <c r="O148" s="591"/>
      <c r="P148" s="592"/>
    </row>
    <row r="149" spans="1:16" s="56" customFormat="1" ht="10.5" customHeight="1">
      <c r="A149" s="541"/>
      <c r="B149" s="514"/>
      <c r="C149" s="514"/>
      <c r="D149" s="468" t="s">
        <v>864</v>
      </c>
      <c r="E149" s="501">
        <f>E81+E89+E93+E105+E113+E121+E125+E129+E137</f>
        <v>190782</v>
      </c>
      <c r="F149" s="501">
        <f aca="true" t="shared" si="38" ref="F149:P149">F81+F89+F93+F105+F113+F121+F125+F129+F137</f>
        <v>51248</v>
      </c>
      <c r="G149" s="501">
        <f t="shared" si="38"/>
        <v>85845</v>
      </c>
      <c r="H149" s="501">
        <f t="shared" si="38"/>
        <v>0</v>
      </c>
      <c r="I149" s="501">
        <f t="shared" si="38"/>
        <v>283</v>
      </c>
      <c r="J149" s="501">
        <f t="shared" si="38"/>
        <v>0</v>
      </c>
      <c r="K149" s="535">
        <f t="shared" si="38"/>
        <v>328158</v>
      </c>
      <c r="L149" s="501">
        <f t="shared" si="38"/>
        <v>7335</v>
      </c>
      <c r="M149" s="501">
        <f t="shared" si="38"/>
        <v>0</v>
      </c>
      <c r="N149" s="501">
        <f t="shared" si="38"/>
        <v>0</v>
      </c>
      <c r="O149" s="535">
        <f t="shared" si="38"/>
        <v>335493</v>
      </c>
      <c r="P149" s="570">
        <f t="shared" si="38"/>
        <v>60.00000000000001</v>
      </c>
    </row>
    <row r="150" spans="1:16" s="56" customFormat="1" ht="10.5" customHeight="1">
      <c r="A150" s="541"/>
      <c r="B150" s="514"/>
      <c r="C150" s="514"/>
      <c r="D150" s="468" t="s">
        <v>865</v>
      </c>
      <c r="E150" s="501">
        <f aca="true" t="shared" si="39" ref="E150:P151">E82+E90+E94+E106+E114+E122+E126+E130+E138</f>
        <v>191943</v>
      </c>
      <c r="F150" s="501">
        <f t="shared" si="39"/>
        <v>51615</v>
      </c>
      <c r="G150" s="501">
        <f t="shared" si="39"/>
        <v>86027</v>
      </c>
      <c r="H150" s="501">
        <f t="shared" si="39"/>
        <v>0</v>
      </c>
      <c r="I150" s="501">
        <f t="shared" si="39"/>
        <v>283</v>
      </c>
      <c r="J150" s="501">
        <f t="shared" si="39"/>
        <v>0</v>
      </c>
      <c r="K150" s="535">
        <f t="shared" si="39"/>
        <v>329868</v>
      </c>
      <c r="L150" s="501">
        <f t="shared" si="39"/>
        <v>7373</v>
      </c>
      <c r="M150" s="501">
        <f t="shared" si="39"/>
        <v>0</v>
      </c>
      <c r="N150" s="501">
        <f t="shared" si="39"/>
        <v>0</v>
      </c>
      <c r="O150" s="535">
        <f t="shared" si="39"/>
        <v>337241</v>
      </c>
      <c r="P150" s="570">
        <f t="shared" si="39"/>
        <v>58.00000000000001</v>
      </c>
    </row>
    <row r="151" spans="1:16" s="56" customFormat="1" ht="10.5" customHeight="1" thickBot="1">
      <c r="A151" s="593"/>
      <c r="B151" s="518"/>
      <c r="C151" s="518"/>
      <c r="D151" s="426" t="s">
        <v>866</v>
      </c>
      <c r="E151" s="521">
        <f t="shared" si="39"/>
        <v>176771</v>
      </c>
      <c r="F151" s="521">
        <f t="shared" si="39"/>
        <v>46355</v>
      </c>
      <c r="G151" s="521">
        <f t="shared" si="39"/>
        <v>68640</v>
      </c>
      <c r="H151" s="521">
        <f t="shared" si="39"/>
        <v>0</v>
      </c>
      <c r="I151" s="521">
        <f t="shared" si="39"/>
        <v>0</v>
      </c>
      <c r="J151" s="521">
        <f t="shared" si="39"/>
        <v>0</v>
      </c>
      <c r="K151" s="614">
        <f>K83+K91+K95+K107+K115+K123+K127+K131+K139</f>
        <v>291766</v>
      </c>
      <c r="L151" s="521">
        <f t="shared" si="39"/>
        <v>7267</v>
      </c>
      <c r="M151" s="521">
        <f t="shared" si="39"/>
        <v>0</v>
      </c>
      <c r="N151" s="521">
        <f t="shared" si="39"/>
        <v>0</v>
      </c>
      <c r="O151" s="614">
        <f t="shared" si="39"/>
        <v>299033</v>
      </c>
      <c r="P151" s="633">
        <f t="shared" si="39"/>
        <v>57.00000000000001</v>
      </c>
    </row>
    <row r="152" spans="1:16" s="56" customFormat="1" ht="10.5" customHeight="1">
      <c r="A152" s="1927" t="s">
        <v>888</v>
      </c>
      <c r="B152" s="1928"/>
      <c r="C152" s="1928"/>
      <c r="D152" s="1929"/>
      <c r="E152" s="594"/>
      <c r="F152" s="594"/>
      <c r="G152" s="594"/>
      <c r="H152" s="594"/>
      <c r="I152" s="594"/>
      <c r="J152" s="594"/>
      <c r="K152" s="530"/>
      <c r="L152" s="594"/>
      <c r="M152" s="594"/>
      <c r="N152" s="594"/>
      <c r="O152" s="567"/>
      <c r="P152" s="595"/>
    </row>
    <row r="153" spans="1:16" s="56" customFormat="1" ht="10.5" customHeight="1">
      <c r="A153" s="541"/>
      <c r="B153" s="514"/>
      <c r="C153" s="514"/>
      <c r="D153" s="468" t="s">
        <v>864</v>
      </c>
      <c r="E153" s="501">
        <f>E85+E109+E141</f>
        <v>14529</v>
      </c>
      <c r="F153" s="501">
        <f aca="true" t="shared" si="40" ref="F153:P153">F85+F109+F141</f>
        <v>3485</v>
      </c>
      <c r="G153" s="501">
        <f t="shared" si="40"/>
        <v>2164</v>
      </c>
      <c r="H153" s="501">
        <f t="shared" si="40"/>
        <v>0</v>
      </c>
      <c r="I153" s="501">
        <f t="shared" si="40"/>
        <v>0</v>
      </c>
      <c r="J153" s="501">
        <f t="shared" si="40"/>
        <v>0</v>
      </c>
      <c r="K153" s="535">
        <f t="shared" si="40"/>
        <v>20178</v>
      </c>
      <c r="L153" s="501">
        <f t="shared" si="40"/>
        <v>0</v>
      </c>
      <c r="M153" s="501">
        <f t="shared" si="40"/>
        <v>0</v>
      </c>
      <c r="N153" s="501">
        <f t="shared" si="40"/>
        <v>0</v>
      </c>
      <c r="O153" s="535">
        <f t="shared" si="40"/>
        <v>20178</v>
      </c>
      <c r="P153" s="570">
        <f t="shared" si="40"/>
        <v>0</v>
      </c>
    </row>
    <row r="154" spans="1:16" s="56" customFormat="1" ht="10.5" customHeight="1">
      <c r="A154" s="541"/>
      <c r="B154" s="514"/>
      <c r="C154" s="514"/>
      <c r="D154" s="468" t="s">
        <v>865</v>
      </c>
      <c r="E154" s="501">
        <f aca="true" t="shared" si="41" ref="E154:P155">E86+E110+E142</f>
        <v>14529</v>
      </c>
      <c r="F154" s="501">
        <f t="shared" si="41"/>
        <v>3775</v>
      </c>
      <c r="G154" s="501">
        <f t="shared" si="41"/>
        <v>1931</v>
      </c>
      <c r="H154" s="501">
        <f t="shared" si="41"/>
        <v>0</v>
      </c>
      <c r="I154" s="501">
        <f t="shared" si="41"/>
        <v>0</v>
      </c>
      <c r="J154" s="501">
        <f t="shared" si="41"/>
        <v>0</v>
      </c>
      <c r="K154" s="535">
        <f t="shared" si="41"/>
        <v>20235</v>
      </c>
      <c r="L154" s="501">
        <f t="shared" si="41"/>
        <v>0</v>
      </c>
      <c r="M154" s="501">
        <f t="shared" si="41"/>
        <v>0</v>
      </c>
      <c r="N154" s="501">
        <f t="shared" si="41"/>
        <v>0</v>
      </c>
      <c r="O154" s="535">
        <f t="shared" si="41"/>
        <v>20235</v>
      </c>
      <c r="P154" s="570">
        <f t="shared" si="41"/>
        <v>0</v>
      </c>
    </row>
    <row r="155" spans="1:16" s="56" customFormat="1" ht="10.5" customHeight="1" thickBot="1">
      <c r="A155" s="596"/>
      <c r="B155" s="547"/>
      <c r="C155" s="547"/>
      <c r="D155" s="427" t="s">
        <v>866</v>
      </c>
      <c r="E155" s="549">
        <f t="shared" si="41"/>
        <v>14212</v>
      </c>
      <c r="F155" s="549">
        <f t="shared" si="41"/>
        <v>3764</v>
      </c>
      <c r="G155" s="549">
        <f t="shared" si="41"/>
        <v>1283</v>
      </c>
      <c r="H155" s="549">
        <f t="shared" si="41"/>
        <v>0</v>
      </c>
      <c r="I155" s="549">
        <f t="shared" si="41"/>
        <v>0</v>
      </c>
      <c r="J155" s="549">
        <f t="shared" si="41"/>
        <v>0</v>
      </c>
      <c r="K155" s="581">
        <f>K87+K111+K143</f>
        <v>19259</v>
      </c>
      <c r="L155" s="549">
        <f t="shared" si="41"/>
        <v>0</v>
      </c>
      <c r="M155" s="549">
        <f t="shared" si="41"/>
        <v>0</v>
      </c>
      <c r="N155" s="549">
        <f t="shared" si="41"/>
        <v>0</v>
      </c>
      <c r="O155" s="581">
        <f t="shared" si="41"/>
        <v>19259</v>
      </c>
      <c r="P155" s="819">
        <f t="shared" si="41"/>
        <v>0</v>
      </c>
    </row>
    <row r="156" spans="1:16" s="24" customFormat="1" ht="12.75" customHeight="1" thickTop="1">
      <c r="A156" s="550" t="s">
        <v>326</v>
      </c>
      <c r="B156" s="492" t="s">
        <v>316</v>
      </c>
      <c r="C156" s="577" t="s">
        <v>631</v>
      </c>
      <c r="D156" s="522" t="s">
        <v>492</v>
      </c>
      <c r="E156" s="537"/>
      <c r="F156" s="537"/>
      <c r="G156" s="537"/>
      <c r="H156" s="537"/>
      <c r="I156" s="577"/>
      <c r="J156" s="537"/>
      <c r="K156" s="537"/>
      <c r="L156" s="537"/>
      <c r="M156" s="537"/>
      <c r="N156" s="537"/>
      <c r="O156" s="522"/>
      <c r="P156" s="512"/>
    </row>
    <row r="157" spans="1:16" s="24" customFormat="1" ht="12.75" customHeight="1">
      <c r="A157" s="513"/>
      <c r="B157" s="533"/>
      <c r="C157" s="597"/>
      <c r="D157" s="468" t="s">
        <v>864</v>
      </c>
      <c r="E157" s="535"/>
      <c r="F157" s="535"/>
      <c r="G157" s="535">
        <v>1304</v>
      </c>
      <c r="H157" s="535"/>
      <c r="I157" s="597"/>
      <c r="J157" s="535">
        <v>620</v>
      </c>
      <c r="K157" s="535">
        <v>1924</v>
      </c>
      <c r="L157" s="535">
        <v>2500</v>
      </c>
      <c r="M157" s="535"/>
      <c r="N157" s="535"/>
      <c r="O157" s="569">
        <v>4424</v>
      </c>
      <c r="P157" s="507"/>
    </row>
    <row r="158" spans="1:16" s="24" customFormat="1" ht="12.75" customHeight="1">
      <c r="A158" s="513"/>
      <c r="B158" s="533"/>
      <c r="C158" s="597"/>
      <c r="D158" s="468" t="s">
        <v>865</v>
      </c>
      <c r="E158" s="535"/>
      <c r="F158" s="535"/>
      <c r="G158" s="535">
        <v>1304</v>
      </c>
      <c r="H158" s="535"/>
      <c r="I158" s="597"/>
      <c r="J158" s="535">
        <v>698</v>
      </c>
      <c r="K158" s="535">
        <v>2002</v>
      </c>
      <c r="L158" s="535">
        <v>3130</v>
      </c>
      <c r="M158" s="535">
        <v>5760</v>
      </c>
      <c r="N158" s="535"/>
      <c r="O158" s="569">
        <v>10892</v>
      </c>
      <c r="P158" s="507"/>
    </row>
    <row r="159" spans="1:16" s="24" customFormat="1" ht="12.75" customHeight="1" thickBot="1">
      <c r="A159" s="550"/>
      <c r="B159" s="492"/>
      <c r="C159" s="577"/>
      <c r="D159" s="461" t="s">
        <v>866</v>
      </c>
      <c r="E159" s="537"/>
      <c r="F159" s="537"/>
      <c r="G159" s="537">
        <f>490+132+126</f>
        <v>748</v>
      </c>
      <c r="H159" s="537"/>
      <c r="I159" s="577"/>
      <c r="J159" s="537">
        <v>697</v>
      </c>
      <c r="K159" s="537">
        <f>G159+J159</f>
        <v>1445</v>
      </c>
      <c r="L159" s="537">
        <f>505+127</f>
        <v>632</v>
      </c>
      <c r="M159" s="537">
        <v>5759</v>
      </c>
      <c r="N159" s="537"/>
      <c r="O159" s="522">
        <f>L159+K159+M159</f>
        <v>7836</v>
      </c>
      <c r="P159" s="512"/>
    </row>
    <row r="160" spans="1:16" s="24" customFormat="1" ht="10.5" customHeight="1">
      <c r="A160" s="564" t="s">
        <v>327</v>
      </c>
      <c r="B160" s="489" t="s">
        <v>316</v>
      </c>
      <c r="C160" s="568" t="s">
        <v>631</v>
      </c>
      <c r="D160" s="598" t="s">
        <v>552</v>
      </c>
      <c r="E160" s="530"/>
      <c r="F160" s="530"/>
      <c r="G160" s="530"/>
      <c r="H160" s="530"/>
      <c r="I160" s="568"/>
      <c r="J160" s="530"/>
      <c r="K160" s="530"/>
      <c r="L160" s="530"/>
      <c r="M160" s="530"/>
      <c r="N160" s="530"/>
      <c r="O160" s="567"/>
      <c r="P160" s="531"/>
    </row>
    <row r="161" spans="1:16" s="24" customFormat="1" ht="10.5" customHeight="1">
      <c r="A161" s="513"/>
      <c r="B161" s="533"/>
      <c r="C161" s="597"/>
      <c r="D161" s="468" t="s">
        <v>864</v>
      </c>
      <c r="E161" s="535"/>
      <c r="F161" s="535"/>
      <c r="G161" s="535">
        <v>500</v>
      </c>
      <c r="H161" s="535"/>
      <c r="I161" s="597"/>
      <c r="J161" s="535"/>
      <c r="K161" s="535">
        <v>500</v>
      </c>
      <c r="L161" s="535"/>
      <c r="M161" s="535"/>
      <c r="N161" s="535"/>
      <c r="O161" s="569">
        <v>500</v>
      </c>
      <c r="P161" s="507"/>
    </row>
    <row r="162" spans="1:16" s="24" customFormat="1" ht="10.5" customHeight="1">
      <c r="A162" s="513"/>
      <c r="B162" s="533"/>
      <c r="C162" s="597"/>
      <c r="D162" s="468" t="s">
        <v>865</v>
      </c>
      <c r="E162" s="535"/>
      <c r="F162" s="535"/>
      <c r="G162" s="535">
        <v>500</v>
      </c>
      <c r="H162" s="535"/>
      <c r="I162" s="597"/>
      <c r="J162" s="535"/>
      <c r="K162" s="535">
        <v>500</v>
      </c>
      <c r="L162" s="535"/>
      <c r="M162" s="535"/>
      <c r="N162" s="535"/>
      <c r="O162" s="569">
        <v>500</v>
      </c>
      <c r="P162" s="507"/>
    </row>
    <row r="163" spans="1:16" s="24" customFormat="1" ht="10.5" customHeight="1" thickBot="1">
      <c r="A163" s="571"/>
      <c r="B163" s="599"/>
      <c r="C163" s="600"/>
      <c r="D163" s="573" t="s">
        <v>866</v>
      </c>
      <c r="E163" s="575"/>
      <c r="F163" s="575"/>
      <c r="G163" s="575">
        <v>0</v>
      </c>
      <c r="H163" s="575"/>
      <c r="I163" s="600"/>
      <c r="J163" s="575"/>
      <c r="K163" s="575">
        <v>0</v>
      </c>
      <c r="L163" s="575"/>
      <c r="M163" s="575"/>
      <c r="N163" s="575"/>
      <c r="O163" s="601">
        <v>0</v>
      </c>
      <c r="P163" s="576"/>
    </row>
    <row r="164" spans="1:16" s="24" customFormat="1" ht="10.5" customHeight="1">
      <c r="A164" s="550" t="s">
        <v>328</v>
      </c>
      <c r="B164" s="492" t="s">
        <v>316</v>
      </c>
      <c r="C164" s="577" t="s">
        <v>631</v>
      </c>
      <c r="D164" s="553" t="s">
        <v>553</v>
      </c>
      <c r="E164" s="537"/>
      <c r="F164" s="537"/>
      <c r="G164" s="537"/>
      <c r="H164" s="537"/>
      <c r="I164" s="577"/>
      <c r="J164" s="537"/>
      <c r="K164" s="537"/>
      <c r="L164" s="537"/>
      <c r="M164" s="537"/>
      <c r="N164" s="537"/>
      <c r="O164" s="522"/>
      <c r="P164" s="512"/>
    </row>
    <row r="165" spans="1:16" s="24" customFormat="1" ht="10.5" customHeight="1">
      <c r="A165" s="513"/>
      <c r="B165" s="533"/>
      <c r="C165" s="597"/>
      <c r="D165" s="468" t="s">
        <v>864</v>
      </c>
      <c r="E165" s="535"/>
      <c r="F165" s="535"/>
      <c r="G165" s="535"/>
      <c r="H165" s="535"/>
      <c r="I165" s="597"/>
      <c r="J165" s="535"/>
      <c r="K165" s="535">
        <v>0</v>
      </c>
      <c r="L165" s="535">
        <v>33075</v>
      </c>
      <c r="M165" s="535"/>
      <c r="N165" s="535"/>
      <c r="O165" s="569">
        <v>33075</v>
      </c>
      <c r="P165" s="507"/>
    </row>
    <row r="166" spans="1:16" s="24" customFormat="1" ht="10.5" customHeight="1">
      <c r="A166" s="513"/>
      <c r="B166" s="533"/>
      <c r="C166" s="597"/>
      <c r="D166" s="468" t="s">
        <v>865</v>
      </c>
      <c r="E166" s="535">
        <v>431</v>
      </c>
      <c r="F166" s="535">
        <v>59</v>
      </c>
      <c r="G166" s="535"/>
      <c r="H166" s="535"/>
      <c r="I166" s="597"/>
      <c r="J166" s="535"/>
      <c r="K166" s="535">
        <f>SUM(E166:J166)</f>
        <v>490</v>
      </c>
      <c r="L166" s="535">
        <v>48888</v>
      </c>
      <c r="M166" s="535"/>
      <c r="N166" s="535"/>
      <c r="O166" s="569">
        <f>SUM(K166:N166)</f>
        <v>49378</v>
      </c>
      <c r="P166" s="507"/>
    </row>
    <row r="167" spans="1:16" s="24" customFormat="1" ht="10.5" customHeight="1" thickBot="1">
      <c r="A167" s="550"/>
      <c r="B167" s="492"/>
      <c r="C167" s="577"/>
      <c r="D167" s="461" t="s">
        <v>866</v>
      </c>
      <c r="E167" s="537">
        <v>0</v>
      </c>
      <c r="F167" s="537">
        <v>0</v>
      </c>
      <c r="G167" s="537"/>
      <c r="H167" s="537"/>
      <c r="I167" s="577"/>
      <c r="J167" s="537"/>
      <c r="K167" s="537">
        <v>0</v>
      </c>
      <c r="L167" s="537">
        <v>11636</v>
      </c>
      <c r="M167" s="537"/>
      <c r="N167" s="537"/>
      <c r="O167" s="522">
        <f>SUM(K167:N167)</f>
        <v>11636</v>
      </c>
      <c r="P167" s="512"/>
    </row>
    <row r="168" spans="1:16" ht="12.75" customHeight="1">
      <c r="A168" s="602" t="s">
        <v>382</v>
      </c>
      <c r="B168" s="603"/>
      <c r="C168" s="539"/>
      <c r="D168" s="591" t="s">
        <v>493</v>
      </c>
      <c r="E168" s="540"/>
      <c r="F168" s="540"/>
      <c r="G168" s="540"/>
      <c r="H168" s="540"/>
      <c r="I168" s="540"/>
      <c r="J168" s="540"/>
      <c r="K168" s="540"/>
      <c r="L168" s="540"/>
      <c r="M168" s="540"/>
      <c r="N168" s="540"/>
      <c r="O168" s="591"/>
      <c r="P168" s="604"/>
    </row>
    <row r="169" spans="1:16" ht="10.5" customHeight="1">
      <c r="A169" s="550"/>
      <c r="B169" s="511"/>
      <c r="C169" s="509"/>
      <c r="D169" s="426" t="s">
        <v>864</v>
      </c>
      <c r="E169" s="537">
        <f>E173</f>
        <v>0</v>
      </c>
      <c r="F169" s="537">
        <f aca="true" t="shared" si="42" ref="F169:O169">F173</f>
        <v>0</v>
      </c>
      <c r="G169" s="537">
        <f t="shared" si="42"/>
        <v>0</v>
      </c>
      <c r="H169" s="537">
        <f t="shared" si="42"/>
        <v>0</v>
      </c>
      <c r="I169" s="537">
        <f t="shared" si="42"/>
        <v>0</v>
      </c>
      <c r="J169" s="537">
        <f t="shared" si="42"/>
        <v>0</v>
      </c>
      <c r="K169" s="537">
        <f t="shared" si="42"/>
        <v>0</v>
      </c>
      <c r="L169" s="537">
        <f t="shared" si="42"/>
        <v>808947</v>
      </c>
      <c r="M169" s="537">
        <f t="shared" si="42"/>
        <v>0</v>
      </c>
      <c r="N169" s="537">
        <f t="shared" si="42"/>
        <v>0</v>
      </c>
      <c r="O169" s="537">
        <f t="shared" si="42"/>
        <v>808947</v>
      </c>
      <c r="P169" s="512"/>
    </row>
    <row r="170" spans="1:16" ht="10.5" customHeight="1">
      <c r="A170" s="513"/>
      <c r="B170" s="516"/>
      <c r="C170" s="515"/>
      <c r="D170" s="468" t="s">
        <v>865</v>
      </c>
      <c r="E170" s="535">
        <f>E174+E186+E190</f>
        <v>323</v>
      </c>
      <c r="F170" s="535">
        <f aca="true" t="shared" si="43" ref="F170:K170">F174+F186+F190</f>
        <v>87</v>
      </c>
      <c r="G170" s="535">
        <f t="shared" si="43"/>
        <v>86874</v>
      </c>
      <c r="H170" s="535">
        <f t="shared" si="43"/>
        <v>0</v>
      </c>
      <c r="I170" s="535">
        <f t="shared" si="43"/>
        <v>0</v>
      </c>
      <c r="J170" s="535">
        <f t="shared" si="43"/>
        <v>0</v>
      </c>
      <c r="K170" s="535">
        <f t="shared" si="43"/>
        <v>87284</v>
      </c>
      <c r="L170" s="535">
        <f aca="true" t="shared" si="44" ref="E170:N171">L174</f>
        <v>913530</v>
      </c>
      <c r="M170" s="535">
        <f t="shared" si="44"/>
        <v>0</v>
      </c>
      <c r="N170" s="535">
        <f t="shared" si="44"/>
        <v>0</v>
      </c>
      <c r="O170" s="535">
        <f>O174+O186+O190</f>
        <v>1000814</v>
      </c>
      <c r="P170" s="507"/>
    </row>
    <row r="171" spans="1:16" ht="10.5" customHeight="1">
      <c r="A171" s="513"/>
      <c r="B171" s="516"/>
      <c r="C171" s="515"/>
      <c r="D171" s="468" t="s">
        <v>866</v>
      </c>
      <c r="E171" s="535">
        <f t="shared" si="44"/>
        <v>196</v>
      </c>
      <c r="F171" s="535">
        <f t="shared" si="44"/>
        <v>48</v>
      </c>
      <c r="G171" s="535">
        <f>G175+G187+G191</f>
        <v>83164</v>
      </c>
      <c r="H171" s="535">
        <f t="shared" si="44"/>
        <v>0</v>
      </c>
      <c r="I171" s="535">
        <f t="shared" si="44"/>
        <v>0</v>
      </c>
      <c r="J171" s="535">
        <f t="shared" si="44"/>
        <v>0</v>
      </c>
      <c r="K171" s="535">
        <f>K175+K187+K191</f>
        <v>83408</v>
      </c>
      <c r="L171" s="535">
        <f t="shared" si="44"/>
        <v>617647</v>
      </c>
      <c r="M171" s="535">
        <f t="shared" si="44"/>
        <v>0</v>
      </c>
      <c r="N171" s="535">
        <f t="shared" si="44"/>
        <v>0</v>
      </c>
      <c r="O171" s="535">
        <f>O175+O187+O191</f>
        <v>701055</v>
      </c>
      <c r="P171" s="507"/>
    </row>
    <row r="172" spans="1:16" ht="11.25" customHeight="1">
      <c r="A172" s="513"/>
      <c r="B172" s="514" t="s">
        <v>316</v>
      </c>
      <c r="C172" s="515"/>
      <c r="D172" s="579" t="s">
        <v>494</v>
      </c>
      <c r="E172" s="501"/>
      <c r="F172" s="501"/>
      <c r="G172" s="501"/>
      <c r="H172" s="501"/>
      <c r="I172" s="501"/>
      <c r="J172" s="501"/>
      <c r="K172" s="535"/>
      <c r="L172" s="501"/>
      <c r="M172" s="501"/>
      <c r="N172" s="501"/>
      <c r="O172" s="569"/>
      <c r="P172" s="507"/>
    </row>
    <row r="173" spans="1:16" ht="11.25" customHeight="1">
      <c r="A173" s="513"/>
      <c r="B173" s="514"/>
      <c r="C173" s="515"/>
      <c r="D173" s="468" t="s">
        <v>864</v>
      </c>
      <c r="E173" s="501">
        <f>E177+E181</f>
        <v>0</v>
      </c>
      <c r="F173" s="501">
        <f aca="true" t="shared" si="45" ref="F173:O173">F177+F181</f>
        <v>0</v>
      </c>
      <c r="G173" s="501">
        <f t="shared" si="45"/>
        <v>0</v>
      </c>
      <c r="H173" s="501">
        <f t="shared" si="45"/>
        <v>0</v>
      </c>
      <c r="I173" s="501">
        <f t="shared" si="45"/>
        <v>0</v>
      </c>
      <c r="J173" s="501">
        <f t="shared" si="45"/>
        <v>0</v>
      </c>
      <c r="K173" s="535">
        <f t="shared" si="45"/>
        <v>0</v>
      </c>
      <c r="L173" s="501">
        <f t="shared" si="45"/>
        <v>808947</v>
      </c>
      <c r="M173" s="501">
        <f t="shared" si="45"/>
        <v>0</v>
      </c>
      <c r="N173" s="501">
        <f t="shared" si="45"/>
        <v>0</v>
      </c>
      <c r="O173" s="535">
        <f t="shared" si="45"/>
        <v>808947</v>
      </c>
      <c r="P173" s="507"/>
    </row>
    <row r="174" spans="1:16" ht="11.25" customHeight="1">
      <c r="A174" s="513"/>
      <c r="B174" s="514"/>
      <c r="C174" s="515"/>
      <c r="D174" s="468" t="s">
        <v>865</v>
      </c>
      <c r="E174" s="501">
        <f aca="true" t="shared" si="46" ref="E174:N175">E178+E182</f>
        <v>323</v>
      </c>
      <c r="F174" s="501">
        <f t="shared" si="46"/>
        <v>87</v>
      </c>
      <c r="G174" s="501">
        <f t="shared" si="46"/>
        <v>76362</v>
      </c>
      <c r="H174" s="501">
        <f t="shared" si="46"/>
        <v>0</v>
      </c>
      <c r="I174" s="501">
        <f t="shared" si="46"/>
        <v>0</v>
      </c>
      <c r="J174" s="501">
        <f t="shared" si="46"/>
        <v>0</v>
      </c>
      <c r="K174" s="535">
        <f t="shared" si="46"/>
        <v>76772</v>
      </c>
      <c r="L174" s="501">
        <f t="shared" si="46"/>
        <v>913530</v>
      </c>
      <c r="M174" s="501">
        <f t="shared" si="46"/>
        <v>0</v>
      </c>
      <c r="N174" s="501">
        <f t="shared" si="46"/>
        <v>0</v>
      </c>
      <c r="O174" s="535">
        <f>O178+O182</f>
        <v>990302</v>
      </c>
      <c r="P174" s="507"/>
    </row>
    <row r="175" spans="1:16" ht="11.25" customHeight="1">
      <c r="A175" s="513"/>
      <c r="B175" s="514"/>
      <c r="C175" s="515"/>
      <c r="D175" s="468" t="s">
        <v>866</v>
      </c>
      <c r="E175" s="501">
        <f t="shared" si="46"/>
        <v>196</v>
      </c>
      <c r="F175" s="501">
        <f t="shared" si="46"/>
        <v>48</v>
      </c>
      <c r="G175" s="501">
        <f>G179</f>
        <v>76362</v>
      </c>
      <c r="H175" s="501">
        <f t="shared" si="46"/>
        <v>0</v>
      </c>
      <c r="I175" s="501">
        <f t="shared" si="46"/>
        <v>0</v>
      </c>
      <c r="J175" s="501">
        <f t="shared" si="46"/>
        <v>0</v>
      </c>
      <c r="K175" s="535">
        <f>SUM(E175:I175)</f>
        <v>76606</v>
      </c>
      <c r="L175" s="501">
        <f>373256+118190+126202-1</f>
        <v>617647</v>
      </c>
      <c r="M175" s="501">
        <f t="shared" si="46"/>
        <v>0</v>
      </c>
      <c r="N175" s="501">
        <f t="shared" si="46"/>
        <v>0</v>
      </c>
      <c r="O175" s="535">
        <f>L175+K175</f>
        <v>694253</v>
      </c>
      <c r="P175" s="507"/>
    </row>
    <row r="176" spans="1:16" s="56" customFormat="1" ht="11.25" customHeight="1">
      <c r="A176" s="513"/>
      <c r="B176" s="514"/>
      <c r="C176" s="515" t="s">
        <v>631</v>
      </c>
      <c r="D176" s="690" t="s">
        <v>872</v>
      </c>
      <c r="E176" s="501"/>
      <c r="F176" s="501"/>
      <c r="G176" s="516"/>
      <c r="H176" s="501"/>
      <c r="I176" s="515"/>
      <c r="J176" s="501"/>
      <c r="K176" s="535"/>
      <c r="L176" s="501"/>
      <c r="M176" s="501"/>
      <c r="N176" s="501"/>
      <c r="O176" s="569"/>
      <c r="P176" s="570"/>
    </row>
    <row r="177" spans="1:16" s="56" customFormat="1" ht="11.25" customHeight="1">
      <c r="A177" s="513"/>
      <c r="B177" s="514"/>
      <c r="C177" s="515"/>
      <c r="D177" s="468" t="s">
        <v>864</v>
      </c>
      <c r="E177" s="501"/>
      <c r="F177" s="501"/>
      <c r="G177" s="516"/>
      <c r="H177" s="501"/>
      <c r="I177" s="515"/>
      <c r="J177" s="501"/>
      <c r="K177" s="535">
        <v>0</v>
      </c>
      <c r="L177" s="501">
        <v>758635</v>
      </c>
      <c r="M177" s="501"/>
      <c r="N177" s="501"/>
      <c r="O177" s="569">
        <f>SUM(L177:N177)</f>
        <v>758635</v>
      </c>
      <c r="P177" s="570"/>
    </row>
    <row r="178" spans="1:16" s="56" customFormat="1" ht="11.25" customHeight="1">
      <c r="A178" s="513"/>
      <c r="B178" s="514"/>
      <c r="C178" s="515"/>
      <c r="D178" s="468" t="s">
        <v>865</v>
      </c>
      <c r="E178" s="501">
        <v>323</v>
      </c>
      <c r="F178" s="501">
        <v>87</v>
      </c>
      <c r="G178" s="516">
        <v>76362</v>
      </c>
      <c r="H178" s="501"/>
      <c r="I178" s="515"/>
      <c r="J178" s="501"/>
      <c r="K178" s="535">
        <f>SUM(E178:J178)</f>
        <v>76772</v>
      </c>
      <c r="L178" s="501">
        <v>863452</v>
      </c>
      <c r="M178" s="501"/>
      <c r="N178" s="501"/>
      <c r="O178" s="569">
        <f>SUM(K178:N178)</f>
        <v>940224</v>
      </c>
      <c r="P178" s="570"/>
    </row>
    <row r="179" spans="1:16" s="56" customFormat="1" ht="11.25" customHeight="1">
      <c r="A179" s="513"/>
      <c r="B179" s="514"/>
      <c r="C179" s="515"/>
      <c r="D179" s="468" t="s">
        <v>866</v>
      </c>
      <c r="E179" s="501">
        <v>196</v>
      </c>
      <c r="F179" s="501">
        <v>48</v>
      </c>
      <c r="G179" s="516">
        <v>76362</v>
      </c>
      <c r="H179" s="501"/>
      <c r="I179" s="515"/>
      <c r="J179" s="501"/>
      <c r="K179" s="535">
        <f>SUM(E179:I179)</f>
        <v>76606</v>
      </c>
      <c r="L179" s="501">
        <f>L175-L183</f>
        <v>617600</v>
      </c>
      <c r="M179" s="501"/>
      <c r="N179" s="501"/>
      <c r="O179" s="569">
        <f>SUM(K179:N179)</f>
        <v>694206</v>
      </c>
      <c r="P179" s="570"/>
    </row>
    <row r="180" spans="1:16" s="56" customFormat="1" ht="11.25" customHeight="1">
      <c r="A180" s="513"/>
      <c r="B180" s="514"/>
      <c r="C180" s="515" t="s">
        <v>632</v>
      </c>
      <c r="D180" s="517" t="s">
        <v>873</v>
      </c>
      <c r="E180" s="501"/>
      <c r="F180" s="501"/>
      <c r="G180" s="516"/>
      <c r="H180" s="501"/>
      <c r="I180" s="515"/>
      <c r="J180" s="501"/>
      <c r="K180" s="535"/>
      <c r="L180" s="501"/>
      <c r="M180" s="501"/>
      <c r="N180" s="501"/>
      <c r="O180" s="569"/>
      <c r="P180" s="570"/>
    </row>
    <row r="181" spans="1:16" s="56" customFormat="1" ht="11.25" customHeight="1">
      <c r="A181" s="513"/>
      <c r="B181" s="514"/>
      <c r="C181" s="515"/>
      <c r="D181" s="468" t="s">
        <v>864</v>
      </c>
      <c r="E181" s="501"/>
      <c r="F181" s="501"/>
      <c r="G181" s="516"/>
      <c r="H181" s="501"/>
      <c r="I181" s="515"/>
      <c r="J181" s="501"/>
      <c r="K181" s="535">
        <v>0</v>
      </c>
      <c r="L181" s="501">
        <v>50312</v>
      </c>
      <c r="M181" s="501"/>
      <c r="N181" s="501"/>
      <c r="O181" s="569">
        <f>SUM(L181:N181)</f>
        <v>50312</v>
      </c>
      <c r="P181" s="570"/>
    </row>
    <row r="182" spans="1:16" s="56" customFormat="1" ht="11.25" customHeight="1">
      <c r="A182" s="513"/>
      <c r="B182" s="514"/>
      <c r="C182" s="515"/>
      <c r="D182" s="468" t="s">
        <v>865</v>
      </c>
      <c r="E182" s="501"/>
      <c r="F182" s="501"/>
      <c r="G182" s="516"/>
      <c r="H182" s="501"/>
      <c r="I182" s="515"/>
      <c r="J182" s="501"/>
      <c r="K182" s="535">
        <v>0</v>
      </c>
      <c r="L182" s="501">
        <v>50078</v>
      </c>
      <c r="M182" s="501"/>
      <c r="N182" s="501"/>
      <c r="O182" s="569">
        <f>SUM(L182:N182)</f>
        <v>50078</v>
      </c>
      <c r="P182" s="570"/>
    </row>
    <row r="183" spans="1:16" s="56" customFormat="1" ht="11.25" customHeight="1">
      <c r="A183" s="550"/>
      <c r="B183" s="508"/>
      <c r="C183" s="509"/>
      <c r="D183" s="520" t="s">
        <v>866</v>
      </c>
      <c r="E183" s="510"/>
      <c r="F183" s="510"/>
      <c r="G183" s="511">
        <f>G175-G179</f>
        <v>0</v>
      </c>
      <c r="H183" s="510"/>
      <c r="I183" s="509"/>
      <c r="J183" s="510"/>
      <c r="K183" s="537">
        <v>0</v>
      </c>
      <c r="L183" s="510">
        <v>47</v>
      </c>
      <c r="M183" s="510"/>
      <c r="N183" s="510"/>
      <c r="O183" s="615">
        <f>SUM(L183:N183)</f>
        <v>47</v>
      </c>
      <c r="P183" s="523"/>
    </row>
    <row r="184" spans="1:16" s="56" customFormat="1" ht="28.5" customHeight="1">
      <c r="A184" s="513"/>
      <c r="B184" s="514" t="s">
        <v>318</v>
      </c>
      <c r="C184" s="515" t="s">
        <v>631</v>
      </c>
      <c r="D184" s="579" t="s">
        <v>913</v>
      </c>
      <c r="E184" s="501"/>
      <c r="F184" s="501"/>
      <c r="G184" s="516"/>
      <c r="H184" s="501"/>
      <c r="I184" s="515"/>
      <c r="J184" s="501"/>
      <c r="K184" s="535"/>
      <c r="L184" s="501"/>
      <c r="M184" s="501"/>
      <c r="N184" s="501"/>
      <c r="O184" s="569"/>
      <c r="P184" s="570"/>
    </row>
    <row r="185" spans="1:16" s="56" customFormat="1" ht="11.25" customHeight="1">
      <c r="A185" s="513"/>
      <c r="B185" s="514"/>
      <c r="C185" s="515"/>
      <c r="D185" s="468" t="s">
        <v>864</v>
      </c>
      <c r="E185" s="501"/>
      <c r="F185" s="501"/>
      <c r="G185" s="516"/>
      <c r="H185" s="501"/>
      <c r="I185" s="515"/>
      <c r="J185" s="501"/>
      <c r="K185" s="535">
        <f>SUM(E185:J185)</f>
        <v>0</v>
      </c>
      <c r="L185" s="501"/>
      <c r="M185" s="501"/>
      <c r="N185" s="501"/>
      <c r="O185" s="569">
        <f>SUM(K185:N185)</f>
        <v>0</v>
      </c>
      <c r="P185" s="570"/>
    </row>
    <row r="186" spans="1:16" s="56" customFormat="1" ht="11.25" customHeight="1">
      <c r="A186" s="513"/>
      <c r="B186" s="514"/>
      <c r="C186" s="515"/>
      <c r="D186" s="468" t="s">
        <v>865</v>
      </c>
      <c r="E186" s="501"/>
      <c r="F186" s="501"/>
      <c r="G186" s="516">
        <v>8770</v>
      </c>
      <c r="H186" s="501"/>
      <c r="I186" s="515"/>
      <c r="J186" s="501"/>
      <c r="K186" s="535">
        <f aca="true" t="shared" si="47" ref="K186:K191">SUM(E186:J186)</f>
        <v>8770</v>
      </c>
      <c r="L186" s="501"/>
      <c r="M186" s="501"/>
      <c r="N186" s="501"/>
      <c r="O186" s="569">
        <f aca="true" t="shared" si="48" ref="O186:O191">SUM(K186:N186)</f>
        <v>8770</v>
      </c>
      <c r="P186" s="570"/>
    </row>
    <row r="187" spans="1:16" s="56" customFormat="1" ht="11.25" customHeight="1">
      <c r="A187" s="513"/>
      <c r="B187" s="514"/>
      <c r="C187" s="515"/>
      <c r="D187" s="520" t="s">
        <v>866</v>
      </c>
      <c r="E187" s="501"/>
      <c r="F187" s="501"/>
      <c r="G187" s="516">
        <f>174+6004</f>
        <v>6178</v>
      </c>
      <c r="H187" s="501"/>
      <c r="I187" s="515"/>
      <c r="J187" s="501"/>
      <c r="K187" s="535">
        <f t="shared" si="47"/>
        <v>6178</v>
      </c>
      <c r="L187" s="501"/>
      <c r="M187" s="501"/>
      <c r="N187" s="501"/>
      <c r="O187" s="569">
        <f t="shared" si="48"/>
        <v>6178</v>
      </c>
      <c r="P187" s="570"/>
    </row>
    <row r="188" spans="1:16" s="56" customFormat="1" ht="11.25" customHeight="1">
      <c r="A188" s="513"/>
      <c r="B188" s="514" t="s">
        <v>319</v>
      </c>
      <c r="C188" s="515" t="s">
        <v>631</v>
      </c>
      <c r="D188" s="559" t="s">
        <v>284</v>
      </c>
      <c r="E188" s="501"/>
      <c r="F188" s="501"/>
      <c r="G188" s="516"/>
      <c r="H188" s="501"/>
      <c r="I188" s="515"/>
      <c r="J188" s="501"/>
      <c r="K188" s="535"/>
      <c r="L188" s="501"/>
      <c r="M188" s="501"/>
      <c r="N188" s="501"/>
      <c r="O188" s="569"/>
      <c r="P188" s="570"/>
    </row>
    <row r="189" spans="1:16" s="56" customFormat="1" ht="11.25" customHeight="1">
      <c r="A189" s="513"/>
      <c r="B189" s="514"/>
      <c r="C189" s="515"/>
      <c r="D189" s="468" t="s">
        <v>864</v>
      </c>
      <c r="E189" s="501"/>
      <c r="F189" s="501"/>
      <c r="G189" s="516"/>
      <c r="H189" s="501"/>
      <c r="I189" s="515"/>
      <c r="J189" s="501"/>
      <c r="K189" s="535">
        <f t="shared" si="47"/>
        <v>0</v>
      </c>
      <c r="L189" s="501"/>
      <c r="M189" s="501"/>
      <c r="N189" s="501"/>
      <c r="O189" s="569">
        <f t="shared" si="48"/>
        <v>0</v>
      </c>
      <c r="P189" s="570"/>
    </row>
    <row r="190" spans="1:16" s="56" customFormat="1" ht="11.25" customHeight="1">
      <c r="A190" s="513"/>
      <c r="B190" s="514"/>
      <c r="C190" s="515"/>
      <c r="D190" s="468" t="s">
        <v>865</v>
      </c>
      <c r="E190" s="501"/>
      <c r="F190" s="501"/>
      <c r="G190" s="516">
        <v>1742</v>
      </c>
      <c r="H190" s="501"/>
      <c r="I190" s="515"/>
      <c r="J190" s="501"/>
      <c r="K190" s="535">
        <f t="shared" si="47"/>
        <v>1742</v>
      </c>
      <c r="L190" s="501"/>
      <c r="M190" s="501"/>
      <c r="N190" s="501"/>
      <c r="O190" s="569">
        <f t="shared" si="48"/>
        <v>1742</v>
      </c>
      <c r="P190" s="570"/>
    </row>
    <row r="191" spans="1:16" s="56" customFormat="1" ht="11.25" customHeight="1" thickBot="1">
      <c r="A191" s="550"/>
      <c r="B191" s="508"/>
      <c r="C191" s="509"/>
      <c r="D191" s="520" t="s">
        <v>866</v>
      </c>
      <c r="E191" s="510"/>
      <c r="F191" s="510"/>
      <c r="G191" s="511">
        <v>624</v>
      </c>
      <c r="H191" s="510"/>
      <c r="I191" s="509"/>
      <c r="J191" s="510"/>
      <c r="K191" s="535">
        <f t="shared" si="47"/>
        <v>624</v>
      </c>
      <c r="L191" s="510"/>
      <c r="M191" s="510"/>
      <c r="N191" s="510"/>
      <c r="O191" s="569">
        <f t="shared" si="48"/>
        <v>624</v>
      </c>
      <c r="P191" s="523"/>
    </row>
    <row r="192" spans="1:16" s="24" customFormat="1" ht="11.25" customHeight="1">
      <c r="A192" s="564" t="s">
        <v>407</v>
      </c>
      <c r="B192" s="565" t="s">
        <v>316</v>
      </c>
      <c r="C192" s="566" t="s">
        <v>632</v>
      </c>
      <c r="D192" s="605" t="s">
        <v>495</v>
      </c>
      <c r="E192" s="530"/>
      <c r="F192" s="530"/>
      <c r="G192" s="530"/>
      <c r="H192" s="530"/>
      <c r="I192" s="568"/>
      <c r="J192" s="530"/>
      <c r="K192" s="530"/>
      <c r="L192" s="530"/>
      <c r="M192" s="530"/>
      <c r="N192" s="530"/>
      <c r="O192" s="567"/>
      <c r="P192" s="531"/>
    </row>
    <row r="193" spans="1:16" s="24" customFormat="1" ht="11.25" customHeight="1">
      <c r="A193" s="513"/>
      <c r="B193" s="514"/>
      <c r="C193" s="515"/>
      <c r="D193" s="468" t="s">
        <v>864</v>
      </c>
      <c r="E193" s="535"/>
      <c r="F193" s="535"/>
      <c r="G193" s="535"/>
      <c r="H193" s="535"/>
      <c r="I193" s="597"/>
      <c r="J193" s="535"/>
      <c r="K193" s="535"/>
      <c r="L193" s="535"/>
      <c r="M193" s="535"/>
      <c r="N193" s="535"/>
      <c r="O193" s="569"/>
      <c r="P193" s="507"/>
    </row>
    <row r="194" spans="1:16" s="24" customFormat="1" ht="11.25" customHeight="1">
      <c r="A194" s="609"/>
      <c r="B194" s="518"/>
      <c r="C194" s="611"/>
      <c r="D194" s="468" t="s">
        <v>865</v>
      </c>
      <c r="E194" s="614"/>
      <c r="F194" s="614"/>
      <c r="G194" s="614">
        <v>10</v>
      </c>
      <c r="H194" s="614"/>
      <c r="I194" s="673"/>
      <c r="J194" s="614"/>
      <c r="K194" s="614">
        <v>10</v>
      </c>
      <c r="L194" s="614"/>
      <c r="M194" s="614"/>
      <c r="N194" s="614"/>
      <c r="O194" s="615">
        <v>10</v>
      </c>
      <c r="P194" s="608"/>
    </row>
    <row r="195" spans="1:16" s="24" customFormat="1" ht="11.25" customHeight="1" thickBot="1">
      <c r="A195" s="571"/>
      <c r="B195" s="543"/>
      <c r="C195" s="572"/>
      <c r="D195" s="520" t="s">
        <v>866</v>
      </c>
      <c r="E195" s="575"/>
      <c r="F195" s="575"/>
      <c r="G195" s="575">
        <v>10</v>
      </c>
      <c r="H195" s="575"/>
      <c r="I195" s="600"/>
      <c r="J195" s="575"/>
      <c r="K195" s="575">
        <v>10</v>
      </c>
      <c r="L195" s="575"/>
      <c r="M195" s="575"/>
      <c r="N195" s="575"/>
      <c r="O195" s="601">
        <v>10</v>
      </c>
      <c r="P195" s="576"/>
    </row>
    <row r="196" spans="1:16" s="24" customFormat="1" ht="11.25" customHeight="1">
      <c r="A196" s="564" t="s">
        <v>411</v>
      </c>
      <c r="B196" s="565" t="s">
        <v>446</v>
      </c>
      <c r="C196" s="566"/>
      <c r="D196" s="598" t="s">
        <v>777</v>
      </c>
      <c r="E196" s="530"/>
      <c r="F196" s="530"/>
      <c r="G196" s="530"/>
      <c r="H196" s="530"/>
      <c r="I196" s="568"/>
      <c r="J196" s="530"/>
      <c r="K196" s="530"/>
      <c r="L196" s="530"/>
      <c r="M196" s="530"/>
      <c r="N196" s="530"/>
      <c r="O196" s="567"/>
      <c r="P196" s="531"/>
    </row>
    <row r="197" spans="1:16" s="24" customFormat="1" ht="11.25" customHeight="1">
      <c r="A197" s="513"/>
      <c r="B197" s="514"/>
      <c r="C197" s="515"/>
      <c r="D197" s="468" t="s">
        <v>864</v>
      </c>
      <c r="E197" s="535">
        <f>E201+E205</f>
        <v>0</v>
      </c>
      <c r="F197" s="535">
        <f aca="true" t="shared" si="49" ref="F197:O197">F201+F205</f>
        <v>0</v>
      </c>
      <c r="G197" s="535">
        <f t="shared" si="49"/>
        <v>10953</v>
      </c>
      <c r="H197" s="535">
        <f t="shared" si="49"/>
        <v>0</v>
      </c>
      <c r="I197" s="535">
        <f t="shared" si="49"/>
        <v>0</v>
      </c>
      <c r="J197" s="535">
        <f t="shared" si="49"/>
        <v>0</v>
      </c>
      <c r="K197" s="535">
        <f t="shared" si="49"/>
        <v>10953</v>
      </c>
      <c r="L197" s="535">
        <f t="shared" si="49"/>
        <v>535416</v>
      </c>
      <c r="M197" s="535">
        <f t="shared" si="49"/>
        <v>20939</v>
      </c>
      <c r="N197" s="535">
        <f t="shared" si="49"/>
        <v>0</v>
      </c>
      <c r="O197" s="535">
        <f t="shared" si="49"/>
        <v>546369</v>
      </c>
      <c r="P197" s="507"/>
    </row>
    <row r="198" spans="1:16" s="24" customFormat="1" ht="11.25" customHeight="1">
      <c r="A198" s="513"/>
      <c r="B198" s="514"/>
      <c r="C198" s="515"/>
      <c r="D198" s="468" t="s">
        <v>865</v>
      </c>
      <c r="E198" s="535">
        <f aca="true" t="shared" si="50" ref="E198:O199">E202+E206</f>
        <v>0</v>
      </c>
      <c r="F198" s="535">
        <f t="shared" si="50"/>
        <v>0</v>
      </c>
      <c r="G198" s="535">
        <f t="shared" si="50"/>
        <v>26248</v>
      </c>
      <c r="H198" s="535">
        <f t="shared" si="50"/>
        <v>0</v>
      </c>
      <c r="I198" s="535">
        <f t="shared" si="50"/>
        <v>0</v>
      </c>
      <c r="J198" s="535">
        <f t="shared" si="50"/>
        <v>0</v>
      </c>
      <c r="K198" s="535">
        <f t="shared" si="50"/>
        <v>26248</v>
      </c>
      <c r="L198" s="535">
        <f t="shared" si="50"/>
        <v>558566</v>
      </c>
      <c r="M198" s="535">
        <f t="shared" si="50"/>
        <v>20939</v>
      </c>
      <c r="N198" s="535">
        <f t="shared" si="50"/>
        <v>0</v>
      </c>
      <c r="O198" s="535">
        <f t="shared" si="50"/>
        <v>605753</v>
      </c>
      <c r="P198" s="507"/>
    </row>
    <row r="199" spans="1:16" s="24" customFormat="1" ht="11.25" customHeight="1">
      <c r="A199" s="513"/>
      <c r="B199" s="514"/>
      <c r="C199" s="515"/>
      <c r="D199" s="468" t="s">
        <v>866</v>
      </c>
      <c r="E199" s="535">
        <f t="shared" si="50"/>
        <v>0</v>
      </c>
      <c r="F199" s="535">
        <f t="shared" si="50"/>
        <v>0</v>
      </c>
      <c r="G199" s="535">
        <f>G203+G207</f>
        <v>21985</v>
      </c>
      <c r="H199" s="535">
        <f t="shared" si="50"/>
        <v>0</v>
      </c>
      <c r="I199" s="535">
        <f t="shared" si="50"/>
        <v>0</v>
      </c>
      <c r="J199" s="535">
        <f t="shared" si="50"/>
        <v>0</v>
      </c>
      <c r="K199" s="535">
        <f>K203+K207</f>
        <v>21985</v>
      </c>
      <c r="L199" s="535">
        <f t="shared" si="50"/>
        <v>217480</v>
      </c>
      <c r="M199" s="535">
        <f t="shared" si="50"/>
        <v>826</v>
      </c>
      <c r="N199" s="535">
        <f t="shared" si="50"/>
        <v>0</v>
      </c>
      <c r="O199" s="535">
        <f>O203+O207</f>
        <v>240291</v>
      </c>
      <c r="P199" s="507"/>
    </row>
    <row r="200" spans="1:16" ht="11.25" customHeight="1">
      <c r="A200" s="541"/>
      <c r="B200" s="514" t="s">
        <v>316</v>
      </c>
      <c r="C200" s="515" t="s">
        <v>631</v>
      </c>
      <c r="D200" s="559" t="s">
        <v>496</v>
      </c>
      <c r="E200" s="501"/>
      <c r="F200" s="501"/>
      <c r="G200" s="501"/>
      <c r="H200" s="501"/>
      <c r="I200" s="515"/>
      <c r="J200" s="501"/>
      <c r="K200" s="535"/>
      <c r="L200" s="501"/>
      <c r="M200" s="501"/>
      <c r="N200" s="501"/>
      <c r="O200" s="569"/>
      <c r="P200" s="507"/>
    </row>
    <row r="201" spans="1:16" ht="11.25" customHeight="1">
      <c r="A201" s="541"/>
      <c r="B201" s="514"/>
      <c r="C201" s="515"/>
      <c r="D201" s="468" t="s">
        <v>864</v>
      </c>
      <c r="E201" s="501"/>
      <c r="F201" s="501"/>
      <c r="G201" s="501">
        <v>10953</v>
      </c>
      <c r="H201" s="501"/>
      <c r="I201" s="515"/>
      <c r="J201" s="501"/>
      <c r="K201" s="535">
        <v>10953</v>
      </c>
      <c r="L201" s="501"/>
      <c r="M201" s="501"/>
      <c r="N201" s="501"/>
      <c r="O201" s="569">
        <v>10953</v>
      </c>
      <c r="P201" s="507"/>
    </row>
    <row r="202" spans="1:16" ht="11.25" customHeight="1">
      <c r="A202" s="541"/>
      <c r="B202" s="514"/>
      <c r="C202" s="515"/>
      <c r="D202" s="468" t="s">
        <v>865</v>
      </c>
      <c r="E202" s="501"/>
      <c r="F202" s="501"/>
      <c r="G202" s="501">
        <v>8497</v>
      </c>
      <c r="H202" s="501"/>
      <c r="I202" s="515"/>
      <c r="J202" s="501"/>
      <c r="K202" s="535">
        <f>SUM(E202:J202)</f>
        <v>8497</v>
      </c>
      <c r="L202" s="501"/>
      <c r="M202" s="501"/>
      <c r="N202" s="501"/>
      <c r="O202" s="569">
        <f>SUM(K202:N202)</f>
        <v>8497</v>
      </c>
      <c r="P202" s="507"/>
    </row>
    <row r="203" spans="1:16" ht="11.25" customHeight="1">
      <c r="A203" s="541"/>
      <c r="B203" s="514"/>
      <c r="C203" s="515"/>
      <c r="D203" s="468" t="s">
        <v>866</v>
      </c>
      <c r="E203" s="501"/>
      <c r="F203" s="501"/>
      <c r="G203" s="501">
        <v>4235</v>
      </c>
      <c r="H203" s="501"/>
      <c r="I203" s="515"/>
      <c r="J203" s="501"/>
      <c r="K203" s="535">
        <f>SUM(E203:J203)</f>
        <v>4235</v>
      </c>
      <c r="L203" s="501"/>
      <c r="M203" s="501"/>
      <c r="N203" s="501"/>
      <c r="O203" s="569">
        <f>SUM(K203:N203)</f>
        <v>4235</v>
      </c>
      <c r="P203" s="507"/>
    </row>
    <row r="204" spans="1:16" ht="11.25" customHeight="1">
      <c r="A204" s="541"/>
      <c r="B204" s="514" t="s">
        <v>318</v>
      </c>
      <c r="C204" s="515" t="s">
        <v>631</v>
      </c>
      <c r="D204" s="559" t="s">
        <v>299</v>
      </c>
      <c r="E204" s="560"/>
      <c r="F204" s="560"/>
      <c r="G204" s="501"/>
      <c r="H204" s="501"/>
      <c r="I204" s="515"/>
      <c r="J204" s="501"/>
      <c r="K204" s="535"/>
      <c r="L204" s="501"/>
      <c r="M204" s="501"/>
      <c r="N204" s="501"/>
      <c r="O204" s="569"/>
      <c r="P204" s="507"/>
    </row>
    <row r="205" spans="1:16" ht="11.25" customHeight="1">
      <c r="A205" s="541"/>
      <c r="B205" s="514"/>
      <c r="C205" s="515"/>
      <c r="D205" s="468" t="s">
        <v>864</v>
      </c>
      <c r="E205" s="560"/>
      <c r="F205" s="560"/>
      <c r="G205" s="501"/>
      <c r="H205" s="501"/>
      <c r="I205" s="515"/>
      <c r="J205" s="501"/>
      <c r="K205" s="535">
        <v>0</v>
      </c>
      <c r="L205" s="501">
        <v>535416</v>
      </c>
      <c r="M205" s="501">
        <v>20939</v>
      </c>
      <c r="N205" s="501"/>
      <c r="O205" s="569">
        <v>535416</v>
      </c>
      <c r="P205" s="507"/>
    </row>
    <row r="206" spans="1:16" ht="11.25" customHeight="1">
      <c r="A206" s="541"/>
      <c r="B206" s="514"/>
      <c r="C206" s="515"/>
      <c r="D206" s="468" t="s">
        <v>865</v>
      </c>
      <c r="E206" s="560"/>
      <c r="F206" s="560"/>
      <c r="G206" s="501">
        <v>17751</v>
      </c>
      <c r="H206" s="501"/>
      <c r="I206" s="515"/>
      <c r="J206" s="501"/>
      <c r="K206" s="535">
        <f>SUM(E206:J206)</f>
        <v>17751</v>
      </c>
      <c r="L206" s="501">
        <v>558566</v>
      </c>
      <c r="M206" s="501">
        <v>20939</v>
      </c>
      <c r="N206" s="501"/>
      <c r="O206" s="569">
        <f>M206+L206+K206</f>
        <v>597256</v>
      </c>
      <c r="P206" s="507"/>
    </row>
    <row r="207" spans="1:16" ht="11.25" customHeight="1" thickBot="1">
      <c r="A207" s="542"/>
      <c r="B207" s="543"/>
      <c r="C207" s="572"/>
      <c r="D207" s="573" t="s">
        <v>866</v>
      </c>
      <c r="E207" s="606"/>
      <c r="F207" s="606"/>
      <c r="G207" s="574">
        <f>14+149+17586+1</f>
        <v>17750</v>
      </c>
      <c r="H207" s="574"/>
      <c r="I207" s="572"/>
      <c r="J207" s="574"/>
      <c r="K207" s="575">
        <f>SUM(G207:J207)</f>
        <v>17750</v>
      </c>
      <c r="L207" s="574">
        <f>166807+38215+12458</f>
        <v>217480</v>
      </c>
      <c r="M207" s="574">
        <v>826</v>
      </c>
      <c r="N207" s="574"/>
      <c r="O207" s="601">
        <f>SUM(K207:N207)</f>
        <v>236056</v>
      </c>
      <c r="P207" s="576"/>
    </row>
    <row r="208" spans="1:16" ht="11.25" customHeight="1">
      <c r="A208" s="550" t="s">
        <v>412</v>
      </c>
      <c r="B208" s="508" t="s">
        <v>316</v>
      </c>
      <c r="C208" s="509" t="s">
        <v>631</v>
      </c>
      <c r="D208" s="522" t="s">
        <v>498</v>
      </c>
      <c r="E208" s="563"/>
      <c r="F208" s="563"/>
      <c r="G208" s="522"/>
      <c r="H208" s="510"/>
      <c r="I208" s="509"/>
      <c r="J208" s="510"/>
      <c r="K208" s="537"/>
      <c r="L208" s="510"/>
      <c r="M208" s="510"/>
      <c r="N208" s="510"/>
      <c r="O208" s="522"/>
      <c r="P208" s="512"/>
    </row>
    <row r="209" spans="1:16" ht="11.25" customHeight="1">
      <c r="A209" s="513"/>
      <c r="B209" s="514"/>
      <c r="C209" s="515"/>
      <c r="D209" s="468" t="s">
        <v>864</v>
      </c>
      <c r="E209" s="560"/>
      <c r="F209" s="560"/>
      <c r="G209" s="569">
        <v>15156</v>
      </c>
      <c r="H209" s="501"/>
      <c r="I209" s="515"/>
      <c r="J209" s="501"/>
      <c r="K209" s="535">
        <v>15156</v>
      </c>
      <c r="L209" s="501"/>
      <c r="M209" s="501"/>
      <c r="N209" s="501"/>
      <c r="O209" s="569">
        <v>15156</v>
      </c>
      <c r="P209" s="507"/>
    </row>
    <row r="210" spans="1:16" ht="11.25" customHeight="1">
      <c r="A210" s="513"/>
      <c r="B210" s="514"/>
      <c r="C210" s="515"/>
      <c r="D210" s="468" t="s">
        <v>865</v>
      </c>
      <c r="E210" s="560"/>
      <c r="F210" s="560"/>
      <c r="G210" s="569">
        <v>18251</v>
      </c>
      <c r="H210" s="501"/>
      <c r="I210" s="515"/>
      <c r="J210" s="501"/>
      <c r="K210" s="535">
        <v>18251</v>
      </c>
      <c r="L210" s="501"/>
      <c r="M210" s="501"/>
      <c r="N210" s="501"/>
      <c r="O210" s="569">
        <v>18251</v>
      </c>
      <c r="P210" s="507"/>
    </row>
    <row r="211" spans="1:16" ht="11.25" customHeight="1" thickBot="1">
      <c r="A211" s="571"/>
      <c r="B211" s="543"/>
      <c r="C211" s="572"/>
      <c r="D211" s="573" t="s">
        <v>866</v>
      </c>
      <c r="E211" s="606"/>
      <c r="F211" s="606"/>
      <c r="G211" s="601">
        <v>17237</v>
      </c>
      <c r="H211" s="574"/>
      <c r="I211" s="572"/>
      <c r="J211" s="574"/>
      <c r="K211" s="575">
        <f>SUM(G211:I211)</f>
        <v>17237</v>
      </c>
      <c r="L211" s="574"/>
      <c r="M211" s="574"/>
      <c r="N211" s="574"/>
      <c r="O211" s="601">
        <f>SUM(K211:N211)</f>
        <v>17237</v>
      </c>
      <c r="P211" s="576"/>
    </row>
    <row r="212" spans="1:16" s="24" customFormat="1" ht="11.25" customHeight="1">
      <c r="A212" s="602" t="s">
        <v>413</v>
      </c>
      <c r="B212" s="590"/>
      <c r="C212" s="618"/>
      <c r="D212" s="893" t="s">
        <v>488</v>
      </c>
      <c r="E212" s="540"/>
      <c r="F212" s="540"/>
      <c r="G212" s="540"/>
      <c r="H212" s="540"/>
      <c r="I212" s="628"/>
      <c r="J212" s="540"/>
      <c r="K212" s="540"/>
      <c r="L212" s="540"/>
      <c r="M212" s="540"/>
      <c r="N212" s="540"/>
      <c r="O212" s="591"/>
      <c r="P212" s="604"/>
    </row>
    <row r="213" spans="1:16" s="24" customFormat="1" ht="11.25" customHeight="1">
      <c r="A213" s="513"/>
      <c r="B213" s="514"/>
      <c r="C213" s="557"/>
      <c r="D213" s="468" t="s">
        <v>864</v>
      </c>
      <c r="E213" s="535">
        <f>E217+E221+E225+E229+E233+E237</f>
        <v>0</v>
      </c>
      <c r="F213" s="535">
        <f aca="true" t="shared" si="51" ref="F213:P213">F217+F221+F225+F229+F233+F237</f>
        <v>0</v>
      </c>
      <c r="G213" s="535">
        <f t="shared" si="51"/>
        <v>51288</v>
      </c>
      <c r="H213" s="535">
        <f t="shared" si="51"/>
        <v>0</v>
      </c>
      <c r="I213" s="535">
        <f t="shared" si="51"/>
        <v>0</v>
      </c>
      <c r="J213" s="535">
        <f t="shared" si="51"/>
        <v>5876</v>
      </c>
      <c r="K213" s="535">
        <f t="shared" si="51"/>
        <v>57164</v>
      </c>
      <c r="L213" s="535">
        <f t="shared" si="51"/>
        <v>355150</v>
      </c>
      <c r="M213" s="535">
        <f t="shared" si="51"/>
        <v>0</v>
      </c>
      <c r="N213" s="535">
        <f t="shared" si="51"/>
        <v>316090</v>
      </c>
      <c r="O213" s="535">
        <f t="shared" si="51"/>
        <v>728404</v>
      </c>
      <c r="P213" s="507">
        <f t="shared" si="51"/>
        <v>0</v>
      </c>
    </row>
    <row r="214" spans="1:16" s="24" customFormat="1" ht="11.25" customHeight="1">
      <c r="A214" s="513"/>
      <c r="B214" s="514"/>
      <c r="C214" s="557"/>
      <c r="D214" s="468" t="s">
        <v>865</v>
      </c>
      <c r="E214" s="535">
        <f aca="true" t="shared" si="52" ref="E214:P215">E218+E222+E226+E230+E234+E238</f>
        <v>0</v>
      </c>
      <c r="F214" s="535">
        <f t="shared" si="52"/>
        <v>0</v>
      </c>
      <c r="G214" s="535">
        <f aca="true" t="shared" si="53" ref="G214:K215">G218+G222+G226+G230+G234+G238+G242+G246+G250</f>
        <v>81091</v>
      </c>
      <c r="H214" s="535">
        <f t="shared" si="53"/>
        <v>0</v>
      </c>
      <c r="I214" s="535">
        <f t="shared" si="53"/>
        <v>1583</v>
      </c>
      <c r="J214" s="535">
        <f t="shared" si="53"/>
        <v>7032</v>
      </c>
      <c r="K214" s="535">
        <f t="shared" si="53"/>
        <v>89706</v>
      </c>
      <c r="L214" s="535">
        <f t="shared" si="52"/>
        <v>275546</v>
      </c>
      <c r="M214" s="535">
        <f t="shared" si="52"/>
        <v>159</v>
      </c>
      <c r="N214" s="535">
        <f t="shared" si="52"/>
        <v>311603</v>
      </c>
      <c r="O214" s="535">
        <f>O218+O222+O226+O230+O234+O238+O242+O246+O250</f>
        <v>677014</v>
      </c>
      <c r="P214" s="507">
        <f t="shared" si="52"/>
        <v>0</v>
      </c>
    </row>
    <row r="215" spans="1:16" s="24" customFormat="1" ht="11.25" customHeight="1">
      <c r="A215" s="550"/>
      <c r="B215" s="508"/>
      <c r="C215" s="552"/>
      <c r="D215" s="461" t="s">
        <v>866</v>
      </c>
      <c r="E215" s="535">
        <f t="shared" si="52"/>
        <v>0</v>
      </c>
      <c r="F215" s="535">
        <f t="shared" si="52"/>
        <v>0</v>
      </c>
      <c r="G215" s="535">
        <f>G219+G223+G227+G231+G235+G239+G243+G247+G251</f>
        <v>55570</v>
      </c>
      <c r="H215" s="535">
        <f t="shared" si="53"/>
        <v>0</v>
      </c>
      <c r="I215" s="535">
        <f t="shared" si="53"/>
        <v>0</v>
      </c>
      <c r="J215" s="535">
        <f t="shared" si="53"/>
        <v>5876</v>
      </c>
      <c r="K215" s="535">
        <f>K219+K223+K227+K231+K235+K239+K243+K247+K251</f>
        <v>61446</v>
      </c>
      <c r="L215" s="535">
        <f t="shared" si="52"/>
        <v>0</v>
      </c>
      <c r="M215" s="535">
        <f t="shared" si="52"/>
        <v>0</v>
      </c>
      <c r="N215" s="535">
        <f t="shared" si="52"/>
        <v>0</v>
      </c>
      <c r="O215" s="535">
        <f>O219+O223+O227+O231+O235+O239+O243+O247+O251</f>
        <v>61446</v>
      </c>
      <c r="P215" s="507">
        <f t="shared" si="52"/>
        <v>0</v>
      </c>
    </row>
    <row r="216" spans="1:16" ht="15" customHeight="1">
      <c r="A216" s="513"/>
      <c r="B216" s="578" t="s">
        <v>316</v>
      </c>
      <c r="C216" s="515" t="s">
        <v>632</v>
      </c>
      <c r="D216" s="1942" t="s">
        <v>556</v>
      </c>
      <c r="E216" s="1943"/>
      <c r="F216" s="1944"/>
      <c r="G216" s="516"/>
      <c r="H216" s="501"/>
      <c r="I216" s="515"/>
      <c r="J216" s="501"/>
      <c r="K216" s="535"/>
      <c r="L216" s="501"/>
      <c r="M216" s="501"/>
      <c r="N216" s="501"/>
      <c r="O216" s="569"/>
      <c r="P216" s="507"/>
    </row>
    <row r="217" spans="1:16" ht="11.25" customHeight="1">
      <c r="A217" s="513"/>
      <c r="B217" s="578"/>
      <c r="C217" s="515"/>
      <c r="D217" s="468" t="s">
        <v>864</v>
      </c>
      <c r="E217" s="501"/>
      <c r="F217" s="501"/>
      <c r="G217" s="516"/>
      <c r="H217" s="501"/>
      <c r="I217" s="515">
        <v>0</v>
      </c>
      <c r="J217" s="501">
        <v>5876</v>
      </c>
      <c r="K217" s="535">
        <v>5876</v>
      </c>
      <c r="L217" s="501"/>
      <c r="M217" s="501"/>
      <c r="N217" s="501"/>
      <c r="O217" s="569">
        <v>5876</v>
      </c>
      <c r="P217" s="507"/>
    </row>
    <row r="218" spans="1:16" ht="11.25" customHeight="1">
      <c r="A218" s="513"/>
      <c r="B218" s="578"/>
      <c r="C218" s="515"/>
      <c r="D218" s="468" t="s">
        <v>865</v>
      </c>
      <c r="E218" s="501"/>
      <c r="F218" s="501"/>
      <c r="G218" s="516"/>
      <c r="H218" s="501"/>
      <c r="I218" s="515"/>
      <c r="J218" s="501">
        <v>5876</v>
      </c>
      <c r="K218" s="535">
        <v>5876</v>
      </c>
      <c r="L218" s="501"/>
      <c r="M218" s="501"/>
      <c r="N218" s="501"/>
      <c r="O218" s="569">
        <v>5876</v>
      </c>
      <c r="P218" s="507"/>
    </row>
    <row r="219" spans="1:16" ht="11.25" customHeight="1">
      <c r="A219" s="513"/>
      <c r="B219" s="578"/>
      <c r="C219" s="515"/>
      <c r="D219" s="468" t="s">
        <v>866</v>
      </c>
      <c r="E219" s="501"/>
      <c r="F219" s="501"/>
      <c r="G219" s="516"/>
      <c r="H219" s="501"/>
      <c r="I219" s="515"/>
      <c r="J219" s="501">
        <v>5876</v>
      </c>
      <c r="K219" s="535">
        <f>SUM(I219:J219)</f>
        <v>5876</v>
      </c>
      <c r="L219" s="501"/>
      <c r="M219" s="501"/>
      <c r="N219" s="501"/>
      <c r="O219" s="569">
        <f>SUM(K219:N219)</f>
        <v>5876</v>
      </c>
      <c r="P219" s="507"/>
    </row>
    <row r="220" spans="1:16" ht="11.25" customHeight="1">
      <c r="A220" s="513"/>
      <c r="B220" s="578" t="s">
        <v>318</v>
      </c>
      <c r="C220" s="515" t="s">
        <v>632</v>
      </c>
      <c r="D220" s="607" t="s">
        <v>501</v>
      </c>
      <c r="E220" s="560"/>
      <c r="F220" s="560"/>
      <c r="G220" s="516"/>
      <c r="H220" s="501"/>
      <c r="I220" s="515"/>
      <c r="J220" s="501"/>
      <c r="K220" s="535"/>
      <c r="L220" s="501"/>
      <c r="M220" s="501"/>
      <c r="N220" s="501"/>
      <c r="O220" s="569"/>
      <c r="P220" s="507"/>
    </row>
    <row r="221" spans="1:16" ht="11.25" customHeight="1">
      <c r="A221" s="513"/>
      <c r="B221" s="578"/>
      <c r="C221" s="515"/>
      <c r="D221" s="468" t="s">
        <v>864</v>
      </c>
      <c r="E221" s="560"/>
      <c r="F221" s="560"/>
      <c r="G221" s="516"/>
      <c r="H221" s="501"/>
      <c r="I221" s="515"/>
      <c r="J221" s="501"/>
      <c r="K221" s="535">
        <v>0</v>
      </c>
      <c r="L221" s="501"/>
      <c r="M221" s="501"/>
      <c r="N221" s="501">
        <v>16090</v>
      </c>
      <c r="O221" s="569">
        <v>16090</v>
      </c>
      <c r="P221" s="608"/>
    </row>
    <row r="222" spans="1:16" ht="11.25" customHeight="1">
      <c r="A222" s="513"/>
      <c r="B222" s="578"/>
      <c r="C222" s="515"/>
      <c r="D222" s="468" t="s">
        <v>865</v>
      </c>
      <c r="E222" s="560"/>
      <c r="F222" s="560"/>
      <c r="G222" s="516"/>
      <c r="H222" s="501"/>
      <c r="I222" s="515"/>
      <c r="J222" s="501"/>
      <c r="K222" s="535">
        <v>0</v>
      </c>
      <c r="L222" s="501"/>
      <c r="M222" s="501"/>
      <c r="N222" s="501">
        <v>11603</v>
      </c>
      <c r="O222" s="569">
        <v>11603</v>
      </c>
      <c r="P222" s="608"/>
    </row>
    <row r="223" spans="1:16" ht="11.25" customHeight="1">
      <c r="A223" s="513"/>
      <c r="B223" s="578"/>
      <c r="C223" s="515"/>
      <c r="D223" s="468" t="s">
        <v>866</v>
      </c>
      <c r="E223" s="560"/>
      <c r="F223" s="560"/>
      <c r="G223" s="516"/>
      <c r="H223" s="501"/>
      <c r="I223" s="515"/>
      <c r="J223" s="501"/>
      <c r="K223" s="535">
        <v>0</v>
      </c>
      <c r="L223" s="501"/>
      <c r="M223" s="501"/>
      <c r="N223" s="501">
        <v>0</v>
      </c>
      <c r="O223" s="569">
        <v>0</v>
      </c>
      <c r="P223" s="608"/>
    </row>
    <row r="224" spans="1:16" ht="11.25" customHeight="1">
      <c r="A224" s="513"/>
      <c r="B224" s="578" t="s">
        <v>319</v>
      </c>
      <c r="C224" s="515" t="s">
        <v>632</v>
      </c>
      <c r="D224" s="607" t="s">
        <v>557</v>
      </c>
      <c r="E224" s="560"/>
      <c r="F224" s="560"/>
      <c r="G224" s="516"/>
      <c r="H224" s="501"/>
      <c r="I224" s="515"/>
      <c r="J224" s="501"/>
      <c r="K224" s="535"/>
      <c r="L224" s="501"/>
      <c r="M224" s="501"/>
      <c r="N224" s="501"/>
      <c r="O224" s="569"/>
      <c r="P224" s="608"/>
    </row>
    <row r="225" spans="1:16" ht="11.25" customHeight="1">
      <c r="A225" s="609"/>
      <c r="B225" s="610"/>
      <c r="C225" s="611"/>
      <c r="D225" s="468" t="s">
        <v>864</v>
      </c>
      <c r="E225" s="612"/>
      <c r="F225" s="612"/>
      <c r="G225" s="613">
        <v>34788</v>
      </c>
      <c r="H225" s="521"/>
      <c r="I225" s="611"/>
      <c r="J225" s="521">
        <v>0</v>
      </c>
      <c r="K225" s="614">
        <v>34788</v>
      </c>
      <c r="L225" s="521">
        <v>355150</v>
      </c>
      <c r="M225" s="521"/>
      <c r="N225" s="521">
        <v>300000</v>
      </c>
      <c r="O225" s="615">
        <v>689938</v>
      </c>
      <c r="P225" s="608"/>
    </row>
    <row r="226" spans="1:16" ht="11.25" customHeight="1">
      <c r="A226" s="609"/>
      <c r="B226" s="610"/>
      <c r="C226" s="611"/>
      <c r="D226" s="468" t="s">
        <v>865</v>
      </c>
      <c r="E226" s="612"/>
      <c r="F226" s="612"/>
      <c r="G226" s="613">
        <v>54982</v>
      </c>
      <c r="H226" s="521"/>
      <c r="I226" s="611"/>
      <c r="J226" s="521"/>
      <c r="K226" s="614">
        <f>SUM(G226:J226)</f>
        <v>54982</v>
      </c>
      <c r="L226" s="521">
        <v>275546</v>
      </c>
      <c r="M226" s="521"/>
      <c r="N226" s="521">
        <v>300000</v>
      </c>
      <c r="O226" s="615">
        <f>SUM(K226:N226)</f>
        <v>630528</v>
      </c>
      <c r="P226" s="608"/>
    </row>
    <row r="227" spans="1:16" ht="11.25" customHeight="1">
      <c r="A227" s="609"/>
      <c r="B227" s="610"/>
      <c r="C227" s="611"/>
      <c r="D227" s="468" t="s">
        <v>866</v>
      </c>
      <c r="E227" s="612"/>
      <c r="F227" s="612"/>
      <c r="G227" s="613">
        <v>38959</v>
      </c>
      <c r="H227" s="521"/>
      <c r="I227" s="611"/>
      <c r="J227" s="521"/>
      <c r="K227" s="614">
        <f>SUM(G227:J227)</f>
        <v>38959</v>
      </c>
      <c r="L227" s="521">
        <v>0</v>
      </c>
      <c r="M227" s="521"/>
      <c r="N227" s="521">
        <v>0</v>
      </c>
      <c r="O227" s="615">
        <f>SUM(K227:N227)</f>
        <v>38959</v>
      </c>
      <c r="P227" s="608"/>
    </row>
    <row r="228" spans="1:16" ht="11.25" customHeight="1">
      <c r="A228" s="609"/>
      <c r="B228" s="610" t="s">
        <v>321</v>
      </c>
      <c r="C228" s="611" t="s">
        <v>632</v>
      </c>
      <c r="D228" s="1933" t="s">
        <v>485</v>
      </c>
      <c r="E228" s="1934"/>
      <c r="F228" s="612"/>
      <c r="G228" s="613"/>
      <c r="H228" s="521"/>
      <c r="I228" s="611"/>
      <c r="J228" s="521"/>
      <c r="K228" s="614"/>
      <c r="L228" s="521"/>
      <c r="M228" s="521"/>
      <c r="N228" s="521"/>
      <c r="O228" s="615"/>
      <c r="P228" s="608"/>
    </row>
    <row r="229" spans="1:16" ht="11.25" customHeight="1">
      <c r="A229" s="609"/>
      <c r="B229" s="610"/>
      <c r="C229" s="611"/>
      <c r="D229" s="468" t="s">
        <v>864</v>
      </c>
      <c r="E229" s="612"/>
      <c r="F229" s="612"/>
      <c r="G229" s="613">
        <v>16500</v>
      </c>
      <c r="H229" s="521"/>
      <c r="I229" s="611"/>
      <c r="J229" s="521">
        <v>0</v>
      </c>
      <c r="K229" s="614">
        <v>16500</v>
      </c>
      <c r="L229" s="521"/>
      <c r="M229" s="521"/>
      <c r="N229" s="521"/>
      <c r="O229" s="615">
        <v>16500</v>
      </c>
      <c r="P229" s="608"/>
    </row>
    <row r="230" spans="1:16" ht="11.25" customHeight="1">
      <c r="A230" s="609"/>
      <c r="B230" s="610"/>
      <c r="C230" s="611"/>
      <c r="D230" s="468" t="s">
        <v>865</v>
      </c>
      <c r="E230" s="612"/>
      <c r="F230" s="612"/>
      <c r="G230" s="613">
        <v>15600</v>
      </c>
      <c r="H230" s="521"/>
      <c r="I230" s="611"/>
      <c r="J230" s="521"/>
      <c r="K230" s="614">
        <v>15600</v>
      </c>
      <c r="L230" s="521"/>
      <c r="M230" s="521"/>
      <c r="N230" s="521"/>
      <c r="O230" s="615">
        <v>15600</v>
      </c>
      <c r="P230" s="608"/>
    </row>
    <row r="231" spans="1:16" ht="11.25" customHeight="1">
      <c r="A231" s="609"/>
      <c r="B231" s="610"/>
      <c r="C231" s="611"/>
      <c r="D231" s="468" t="s">
        <v>866</v>
      </c>
      <c r="E231" s="612"/>
      <c r="F231" s="612"/>
      <c r="G231" s="613">
        <v>6199</v>
      </c>
      <c r="H231" s="521"/>
      <c r="I231" s="611"/>
      <c r="J231" s="521"/>
      <c r="K231" s="614">
        <v>6199</v>
      </c>
      <c r="L231" s="521"/>
      <c r="M231" s="521"/>
      <c r="N231" s="521"/>
      <c r="O231" s="615">
        <v>6199</v>
      </c>
      <c r="P231" s="608"/>
    </row>
    <row r="232" spans="1:16" ht="11.25" customHeight="1">
      <c r="A232" s="609"/>
      <c r="B232" s="610" t="s">
        <v>322</v>
      </c>
      <c r="C232" s="611" t="s">
        <v>631</v>
      </c>
      <c r="D232" s="1969" t="s">
        <v>798</v>
      </c>
      <c r="E232" s="1970"/>
      <c r="F232" s="1971"/>
      <c r="G232" s="613"/>
      <c r="H232" s="521"/>
      <c r="I232" s="611"/>
      <c r="J232" s="521"/>
      <c r="K232" s="614"/>
      <c r="L232" s="521"/>
      <c r="M232" s="521"/>
      <c r="N232" s="521"/>
      <c r="O232" s="615"/>
      <c r="P232" s="608"/>
    </row>
    <row r="233" spans="1:16" ht="11.25" customHeight="1">
      <c r="A233" s="609"/>
      <c r="B233" s="610"/>
      <c r="C233" s="611"/>
      <c r="D233" s="468" t="s">
        <v>864</v>
      </c>
      <c r="E233" s="612"/>
      <c r="F233" s="612"/>
      <c r="G233" s="613"/>
      <c r="H233" s="521"/>
      <c r="I233" s="611">
        <v>0</v>
      </c>
      <c r="J233" s="521"/>
      <c r="K233" s="614">
        <v>0</v>
      </c>
      <c r="L233" s="521"/>
      <c r="M233" s="521"/>
      <c r="N233" s="521"/>
      <c r="O233" s="615">
        <v>0</v>
      </c>
      <c r="P233" s="608"/>
    </row>
    <row r="234" spans="1:16" ht="11.25" customHeight="1">
      <c r="A234" s="609"/>
      <c r="B234" s="610"/>
      <c r="C234" s="611"/>
      <c r="D234" s="468" t="s">
        <v>865</v>
      </c>
      <c r="E234" s="612"/>
      <c r="F234" s="612"/>
      <c r="G234" s="613"/>
      <c r="H234" s="521"/>
      <c r="I234" s="611">
        <v>1583</v>
      </c>
      <c r="J234" s="521">
        <v>1156</v>
      </c>
      <c r="K234" s="614">
        <v>2739</v>
      </c>
      <c r="L234" s="521"/>
      <c r="M234" s="521"/>
      <c r="N234" s="521"/>
      <c r="O234" s="615">
        <v>2739</v>
      </c>
      <c r="P234" s="608"/>
    </row>
    <row r="235" spans="1:16" ht="11.25" customHeight="1">
      <c r="A235" s="513"/>
      <c r="B235" s="578"/>
      <c r="C235" s="515"/>
      <c r="D235" s="468" t="s">
        <v>866</v>
      </c>
      <c r="E235" s="560"/>
      <c r="F235" s="560"/>
      <c r="G235" s="516"/>
      <c r="H235" s="501"/>
      <c r="I235" s="515"/>
      <c r="J235" s="501">
        <v>0</v>
      </c>
      <c r="K235" s="535">
        <f>SUM(H235:J235)</f>
        <v>0</v>
      </c>
      <c r="L235" s="501"/>
      <c r="M235" s="501"/>
      <c r="N235" s="501"/>
      <c r="O235" s="569">
        <f>SUM(K235:N235)</f>
        <v>0</v>
      </c>
      <c r="P235" s="507"/>
    </row>
    <row r="236" spans="1:16" ht="11.25" customHeight="1">
      <c r="A236" s="513"/>
      <c r="B236" s="578" t="s">
        <v>323</v>
      </c>
      <c r="C236" s="515" t="s">
        <v>632</v>
      </c>
      <c r="D236" s="1972" t="s">
        <v>850</v>
      </c>
      <c r="E236" s="1973"/>
      <c r="F236" s="560"/>
      <c r="G236" s="516"/>
      <c r="H236" s="501"/>
      <c r="I236" s="515"/>
      <c r="J236" s="501"/>
      <c r="K236" s="535"/>
      <c r="L236" s="501"/>
      <c r="M236" s="501"/>
      <c r="N236" s="501"/>
      <c r="O236" s="569"/>
      <c r="P236" s="507"/>
    </row>
    <row r="237" spans="1:16" ht="11.25" customHeight="1">
      <c r="A237" s="513"/>
      <c r="B237" s="578"/>
      <c r="C237" s="515"/>
      <c r="D237" s="468" t="s">
        <v>864</v>
      </c>
      <c r="E237" s="560"/>
      <c r="F237" s="560"/>
      <c r="G237" s="516"/>
      <c r="H237" s="501"/>
      <c r="I237" s="515"/>
      <c r="J237" s="501"/>
      <c r="K237" s="535">
        <v>0</v>
      </c>
      <c r="L237" s="501"/>
      <c r="M237" s="501"/>
      <c r="N237" s="501"/>
      <c r="O237" s="569">
        <v>0</v>
      </c>
      <c r="P237" s="507"/>
    </row>
    <row r="238" spans="1:16" ht="11.25" customHeight="1">
      <c r="A238" s="513"/>
      <c r="B238" s="578"/>
      <c r="C238" s="515"/>
      <c r="D238" s="468" t="s">
        <v>865</v>
      </c>
      <c r="E238" s="560"/>
      <c r="F238" s="560"/>
      <c r="G238" s="516"/>
      <c r="H238" s="501"/>
      <c r="I238" s="515"/>
      <c r="J238" s="501"/>
      <c r="K238" s="535">
        <v>0</v>
      </c>
      <c r="L238" s="501"/>
      <c r="M238" s="501">
        <v>159</v>
      </c>
      <c r="N238" s="501"/>
      <c r="O238" s="569">
        <v>159</v>
      </c>
      <c r="P238" s="507"/>
    </row>
    <row r="239" spans="1:16" ht="11.25" customHeight="1">
      <c r="A239" s="609"/>
      <c r="B239" s="610"/>
      <c r="C239" s="611"/>
      <c r="D239" s="426" t="s">
        <v>866</v>
      </c>
      <c r="E239" s="612"/>
      <c r="F239" s="612"/>
      <c r="G239" s="613"/>
      <c r="H239" s="521"/>
      <c r="I239" s="611"/>
      <c r="J239" s="521"/>
      <c r="K239" s="614">
        <v>0</v>
      </c>
      <c r="L239" s="521"/>
      <c r="M239" s="521">
        <v>0</v>
      </c>
      <c r="N239" s="521"/>
      <c r="O239" s="615">
        <v>0</v>
      </c>
      <c r="P239" s="608"/>
    </row>
    <row r="240" spans="1:16" ht="11.25" customHeight="1">
      <c r="A240" s="513"/>
      <c r="B240" s="578" t="s">
        <v>324</v>
      </c>
      <c r="C240" s="515" t="s">
        <v>631</v>
      </c>
      <c r="D240" s="559" t="s">
        <v>489</v>
      </c>
      <c r="E240" s="560"/>
      <c r="F240" s="560"/>
      <c r="G240" s="516"/>
      <c r="H240" s="501"/>
      <c r="I240" s="515"/>
      <c r="J240" s="501"/>
      <c r="K240" s="535"/>
      <c r="L240" s="501"/>
      <c r="M240" s="501"/>
      <c r="N240" s="501"/>
      <c r="O240" s="569"/>
      <c r="P240" s="507"/>
    </row>
    <row r="241" spans="1:16" ht="11.25" customHeight="1">
      <c r="A241" s="513"/>
      <c r="B241" s="578"/>
      <c r="C241" s="515"/>
      <c r="D241" s="468" t="s">
        <v>864</v>
      </c>
      <c r="E241" s="560"/>
      <c r="F241" s="560"/>
      <c r="G241" s="516">
        <v>0</v>
      </c>
      <c r="H241" s="501"/>
      <c r="I241" s="515"/>
      <c r="J241" s="501"/>
      <c r="K241" s="535">
        <v>0</v>
      </c>
      <c r="L241" s="501"/>
      <c r="M241" s="501"/>
      <c r="N241" s="501"/>
      <c r="O241" s="569">
        <v>0</v>
      </c>
      <c r="P241" s="507"/>
    </row>
    <row r="242" spans="1:16" ht="11.25" customHeight="1">
      <c r="A242" s="513"/>
      <c r="B242" s="578"/>
      <c r="C242" s="515"/>
      <c r="D242" s="468" t="s">
        <v>865</v>
      </c>
      <c r="E242" s="560"/>
      <c r="F242" s="560"/>
      <c r="G242" s="516">
        <v>8518</v>
      </c>
      <c r="H242" s="501"/>
      <c r="I242" s="515"/>
      <c r="J242" s="501"/>
      <c r="K242" s="535">
        <f>SUM(E242:J242)</f>
        <v>8518</v>
      </c>
      <c r="L242" s="501"/>
      <c r="M242" s="501"/>
      <c r="N242" s="501"/>
      <c r="O242" s="569">
        <f>SUM(K242:N242)</f>
        <v>8518</v>
      </c>
      <c r="P242" s="507"/>
    </row>
    <row r="243" spans="1:16" ht="11.25" customHeight="1">
      <c r="A243" s="513"/>
      <c r="B243" s="578"/>
      <c r="C243" s="515"/>
      <c r="D243" s="468" t="s">
        <v>866</v>
      </c>
      <c r="E243" s="560"/>
      <c r="F243" s="560"/>
      <c r="G243" s="516">
        <v>8516</v>
      </c>
      <c r="H243" s="501"/>
      <c r="I243" s="515"/>
      <c r="J243" s="501"/>
      <c r="K243" s="535">
        <f aca="true" t="shared" si="54" ref="K243:K251">SUM(E243:J243)</f>
        <v>8516</v>
      </c>
      <c r="L243" s="501"/>
      <c r="M243" s="501"/>
      <c r="N243" s="501"/>
      <c r="O243" s="569">
        <f aca="true" t="shared" si="55" ref="O243:O251">SUM(K243:N243)</f>
        <v>8516</v>
      </c>
      <c r="P243" s="507"/>
    </row>
    <row r="244" spans="1:16" ht="11.25" customHeight="1">
      <c r="A244" s="513"/>
      <c r="B244" s="578">
        <v>8</v>
      </c>
      <c r="C244" s="515" t="s">
        <v>632</v>
      </c>
      <c r="D244" s="559" t="s">
        <v>914</v>
      </c>
      <c r="E244" s="560"/>
      <c r="F244" s="560"/>
      <c r="G244" s="516"/>
      <c r="H244" s="501"/>
      <c r="I244" s="515"/>
      <c r="J244" s="501"/>
      <c r="K244" s="535"/>
      <c r="L244" s="501"/>
      <c r="M244" s="501"/>
      <c r="N244" s="501"/>
      <c r="O244" s="569"/>
      <c r="P244" s="507"/>
    </row>
    <row r="245" spans="1:16" ht="11.25" customHeight="1">
      <c r="A245" s="513"/>
      <c r="B245" s="578"/>
      <c r="C245" s="515"/>
      <c r="D245" s="468" t="s">
        <v>864</v>
      </c>
      <c r="E245" s="560"/>
      <c r="F245" s="560"/>
      <c r="G245" s="516">
        <v>0</v>
      </c>
      <c r="H245" s="501"/>
      <c r="I245" s="515"/>
      <c r="J245" s="501"/>
      <c r="K245" s="535">
        <v>0</v>
      </c>
      <c r="L245" s="501"/>
      <c r="M245" s="501"/>
      <c r="N245" s="501"/>
      <c r="O245" s="569">
        <v>0</v>
      </c>
      <c r="P245" s="507"/>
    </row>
    <row r="246" spans="1:16" ht="11.25" customHeight="1">
      <c r="A246" s="513"/>
      <c r="B246" s="578"/>
      <c r="C246" s="515"/>
      <c r="D246" s="468" t="s">
        <v>865</v>
      </c>
      <c r="E246" s="560"/>
      <c r="F246" s="560"/>
      <c r="G246" s="516">
        <v>991</v>
      </c>
      <c r="H246" s="501"/>
      <c r="I246" s="515"/>
      <c r="J246" s="501"/>
      <c r="K246" s="535">
        <f t="shared" si="54"/>
        <v>991</v>
      </c>
      <c r="L246" s="501"/>
      <c r="M246" s="501"/>
      <c r="N246" s="501"/>
      <c r="O246" s="569">
        <f t="shared" si="55"/>
        <v>991</v>
      </c>
      <c r="P246" s="507"/>
    </row>
    <row r="247" spans="1:16" ht="11.25" customHeight="1">
      <c r="A247" s="513"/>
      <c r="B247" s="578"/>
      <c r="C247" s="515"/>
      <c r="D247" s="468" t="s">
        <v>866</v>
      </c>
      <c r="E247" s="560"/>
      <c r="F247" s="560"/>
      <c r="G247" s="516">
        <v>991</v>
      </c>
      <c r="H247" s="501"/>
      <c r="I247" s="515"/>
      <c r="J247" s="501"/>
      <c r="K247" s="535">
        <f t="shared" si="54"/>
        <v>991</v>
      </c>
      <c r="L247" s="501"/>
      <c r="M247" s="501"/>
      <c r="N247" s="501"/>
      <c r="O247" s="569">
        <f t="shared" si="55"/>
        <v>991</v>
      </c>
      <c r="P247" s="507"/>
    </row>
    <row r="248" spans="1:16" ht="11.25" customHeight="1">
      <c r="A248" s="513"/>
      <c r="B248" s="578">
        <v>9</v>
      </c>
      <c r="C248" s="515" t="s">
        <v>631</v>
      </c>
      <c r="D248" s="559" t="s">
        <v>915</v>
      </c>
      <c r="E248" s="560"/>
      <c r="F248" s="560"/>
      <c r="G248" s="516"/>
      <c r="H248" s="501"/>
      <c r="I248" s="515"/>
      <c r="J248" s="501"/>
      <c r="K248" s="535"/>
      <c r="L248" s="501"/>
      <c r="M248" s="501"/>
      <c r="N248" s="501"/>
      <c r="O248" s="569"/>
      <c r="P248" s="507"/>
    </row>
    <row r="249" spans="1:16" ht="11.25" customHeight="1">
      <c r="A249" s="513"/>
      <c r="B249" s="578"/>
      <c r="C249" s="515"/>
      <c r="D249" s="468" t="s">
        <v>864</v>
      </c>
      <c r="E249" s="560"/>
      <c r="F249" s="560"/>
      <c r="G249" s="516"/>
      <c r="H249" s="501"/>
      <c r="I249" s="515"/>
      <c r="J249" s="501"/>
      <c r="K249" s="535">
        <f t="shared" si="54"/>
        <v>0</v>
      </c>
      <c r="L249" s="501"/>
      <c r="M249" s="501"/>
      <c r="N249" s="501"/>
      <c r="O249" s="569">
        <f t="shared" si="55"/>
        <v>0</v>
      </c>
      <c r="P249" s="507"/>
    </row>
    <row r="250" spans="1:16" ht="11.25" customHeight="1">
      <c r="A250" s="513"/>
      <c r="B250" s="578"/>
      <c r="C250" s="515"/>
      <c r="D250" s="468" t="s">
        <v>865</v>
      </c>
      <c r="E250" s="560"/>
      <c r="F250" s="560"/>
      <c r="G250" s="516">
        <v>1000</v>
      </c>
      <c r="H250" s="501"/>
      <c r="I250" s="515"/>
      <c r="J250" s="501"/>
      <c r="K250" s="535">
        <f t="shared" si="54"/>
        <v>1000</v>
      </c>
      <c r="L250" s="501"/>
      <c r="M250" s="501"/>
      <c r="N250" s="501"/>
      <c r="O250" s="569">
        <f t="shared" si="55"/>
        <v>1000</v>
      </c>
      <c r="P250" s="507"/>
    </row>
    <row r="251" spans="1:16" ht="11.25" customHeight="1" thickBot="1">
      <c r="A251" s="550"/>
      <c r="B251" s="580"/>
      <c r="C251" s="509"/>
      <c r="D251" s="682" t="s">
        <v>866</v>
      </c>
      <c r="E251" s="563"/>
      <c r="F251" s="563"/>
      <c r="G251" s="511">
        <v>905</v>
      </c>
      <c r="H251" s="510"/>
      <c r="I251" s="509"/>
      <c r="J251" s="510"/>
      <c r="K251" s="535">
        <f t="shared" si="54"/>
        <v>905</v>
      </c>
      <c r="L251" s="510"/>
      <c r="M251" s="510"/>
      <c r="N251" s="510"/>
      <c r="O251" s="569">
        <f t="shared" si="55"/>
        <v>905</v>
      </c>
      <c r="P251" s="512"/>
    </row>
    <row r="252" spans="1:16" s="24" customFormat="1" ht="11.25" customHeight="1">
      <c r="A252" s="602" t="s">
        <v>414</v>
      </c>
      <c r="B252" s="590" t="s">
        <v>316</v>
      </c>
      <c r="C252" s="539" t="s">
        <v>632</v>
      </c>
      <c r="D252" s="838" t="s">
        <v>661</v>
      </c>
      <c r="E252" s="540"/>
      <c r="F252" s="540"/>
      <c r="G252" s="540"/>
      <c r="H252" s="540"/>
      <c r="I252" s="628"/>
      <c r="J252" s="540"/>
      <c r="K252" s="540"/>
      <c r="L252" s="540"/>
      <c r="M252" s="540"/>
      <c r="N252" s="540"/>
      <c r="O252" s="591"/>
      <c r="P252" s="604"/>
    </row>
    <row r="253" spans="1:16" s="24" customFormat="1" ht="11.25" customHeight="1">
      <c r="A253" s="513"/>
      <c r="B253" s="514"/>
      <c r="C253" s="515"/>
      <c r="D253" s="468" t="s">
        <v>864</v>
      </c>
      <c r="E253" s="535"/>
      <c r="F253" s="535"/>
      <c r="G253" s="535">
        <v>3750</v>
      </c>
      <c r="H253" s="535"/>
      <c r="I253" s="597"/>
      <c r="J253" s="535"/>
      <c r="K253" s="535">
        <v>3750</v>
      </c>
      <c r="L253" s="535">
        <v>1219</v>
      </c>
      <c r="M253" s="535"/>
      <c r="N253" s="535"/>
      <c r="O253" s="569">
        <v>4969</v>
      </c>
      <c r="P253" s="507"/>
    </row>
    <row r="254" spans="1:16" s="24" customFormat="1" ht="11.25" customHeight="1">
      <c r="A254" s="513"/>
      <c r="B254" s="514"/>
      <c r="C254" s="515"/>
      <c r="D254" s="468" t="s">
        <v>865</v>
      </c>
      <c r="E254" s="535"/>
      <c r="F254" s="535">
        <v>205</v>
      </c>
      <c r="G254" s="535">
        <v>4507</v>
      </c>
      <c r="H254" s="535"/>
      <c r="I254" s="597"/>
      <c r="J254" s="535"/>
      <c r="K254" s="535">
        <v>4712</v>
      </c>
      <c r="L254" s="535">
        <v>1219</v>
      </c>
      <c r="M254" s="535"/>
      <c r="N254" s="535"/>
      <c r="O254" s="569">
        <v>5931</v>
      </c>
      <c r="P254" s="507"/>
    </row>
    <row r="255" spans="1:16" s="24" customFormat="1" ht="11.25" customHeight="1" thickBot="1">
      <c r="A255" s="496"/>
      <c r="B255" s="503"/>
      <c r="C255" s="498"/>
      <c r="D255" s="461" t="s">
        <v>866</v>
      </c>
      <c r="E255" s="616"/>
      <c r="F255" s="616">
        <v>205</v>
      </c>
      <c r="G255" s="616">
        <f>244+1983+1434+268+247+1</f>
        <v>4177</v>
      </c>
      <c r="H255" s="616"/>
      <c r="I255" s="617"/>
      <c r="J255" s="616"/>
      <c r="K255" s="616">
        <f>SUM(E255:G255)</f>
        <v>4382</v>
      </c>
      <c r="L255" s="616">
        <v>0</v>
      </c>
      <c r="M255" s="616"/>
      <c r="N255" s="616"/>
      <c r="O255" s="505">
        <f>SUM(K255:N255)</f>
        <v>4382</v>
      </c>
      <c r="P255" s="506"/>
    </row>
    <row r="256" spans="1:16" s="24" customFormat="1" ht="11.25" customHeight="1">
      <c r="A256" s="602" t="s">
        <v>415</v>
      </c>
      <c r="B256" s="590"/>
      <c r="C256" s="618"/>
      <c r="D256" s="591" t="s">
        <v>558</v>
      </c>
      <c r="E256" s="540"/>
      <c r="F256" s="540"/>
      <c r="G256" s="540"/>
      <c r="H256" s="540"/>
      <c r="I256" s="540"/>
      <c r="J256" s="540"/>
      <c r="K256" s="540"/>
      <c r="L256" s="540"/>
      <c r="M256" s="540"/>
      <c r="N256" s="540"/>
      <c r="O256" s="591"/>
      <c r="P256" s="604"/>
    </row>
    <row r="257" spans="1:16" s="24" customFormat="1" ht="11.25" customHeight="1">
      <c r="A257" s="496"/>
      <c r="B257" s="514"/>
      <c r="C257" s="557"/>
      <c r="D257" s="468" t="s">
        <v>864</v>
      </c>
      <c r="E257" s="535">
        <f>E261+E265+E269+E273</f>
        <v>5468</v>
      </c>
      <c r="F257" s="535">
        <f aca="true" t="shared" si="56" ref="F257:P257">F261+F265+F269+F273</f>
        <v>798</v>
      </c>
      <c r="G257" s="535">
        <f t="shared" si="56"/>
        <v>2827</v>
      </c>
      <c r="H257" s="535">
        <f t="shared" si="56"/>
        <v>0</v>
      </c>
      <c r="I257" s="535">
        <f t="shared" si="56"/>
        <v>0</v>
      </c>
      <c r="J257" s="535">
        <f t="shared" si="56"/>
        <v>2500</v>
      </c>
      <c r="K257" s="535">
        <f t="shared" si="56"/>
        <v>11593</v>
      </c>
      <c r="L257" s="535">
        <f t="shared" si="56"/>
        <v>1200</v>
      </c>
      <c r="M257" s="535">
        <f t="shared" si="56"/>
        <v>0</v>
      </c>
      <c r="N257" s="535">
        <f t="shared" si="56"/>
        <v>0</v>
      </c>
      <c r="O257" s="535">
        <f t="shared" si="56"/>
        <v>12793</v>
      </c>
      <c r="P257" s="507">
        <f t="shared" si="56"/>
        <v>2</v>
      </c>
    </row>
    <row r="258" spans="1:16" s="24" customFormat="1" ht="11.25" customHeight="1">
      <c r="A258" s="496"/>
      <c r="B258" s="514"/>
      <c r="C258" s="557"/>
      <c r="D258" s="468" t="s">
        <v>865</v>
      </c>
      <c r="E258" s="535">
        <f aca="true" t="shared" si="57" ref="E258:P259">E262+E266+E270+E274</f>
        <v>3428</v>
      </c>
      <c r="F258" s="535">
        <f t="shared" si="57"/>
        <v>843</v>
      </c>
      <c r="G258" s="535">
        <f t="shared" si="57"/>
        <v>6331</v>
      </c>
      <c r="H258" s="535">
        <f t="shared" si="57"/>
        <v>0</v>
      </c>
      <c r="I258" s="535">
        <f t="shared" si="57"/>
        <v>150</v>
      </c>
      <c r="J258" s="535">
        <f t="shared" si="57"/>
        <v>2500</v>
      </c>
      <c r="K258" s="535">
        <f t="shared" si="57"/>
        <v>13252</v>
      </c>
      <c r="L258" s="535">
        <f t="shared" si="57"/>
        <v>1370</v>
      </c>
      <c r="M258" s="535">
        <f t="shared" si="57"/>
        <v>0</v>
      </c>
      <c r="N258" s="535">
        <f t="shared" si="57"/>
        <v>0</v>
      </c>
      <c r="O258" s="535">
        <f t="shared" si="57"/>
        <v>14622</v>
      </c>
      <c r="P258" s="507">
        <f t="shared" si="57"/>
        <v>2</v>
      </c>
    </row>
    <row r="259" spans="1:16" s="24" customFormat="1" ht="11.25" customHeight="1">
      <c r="A259" s="496"/>
      <c r="B259" s="514"/>
      <c r="C259" s="557"/>
      <c r="D259" s="468" t="s">
        <v>866</v>
      </c>
      <c r="E259" s="535">
        <f t="shared" si="57"/>
        <v>3258</v>
      </c>
      <c r="F259" s="535">
        <f t="shared" si="57"/>
        <v>843</v>
      </c>
      <c r="G259" s="535">
        <f>G263+G267+G271+G275</f>
        <v>4784</v>
      </c>
      <c r="H259" s="535">
        <f t="shared" si="57"/>
        <v>0</v>
      </c>
      <c r="I259" s="535">
        <f t="shared" si="57"/>
        <v>150</v>
      </c>
      <c r="J259" s="535">
        <f t="shared" si="57"/>
        <v>1851</v>
      </c>
      <c r="K259" s="535">
        <f>K263+K267+K271+K275</f>
        <v>10886</v>
      </c>
      <c r="L259" s="535">
        <f t="shared" si="57"/>
        <v>1366</v>
      </c>
      <c r="M259" s="535">
        <f t="shared" si="57"/>
        <v>0</v>
      </c>
      <c r="N259" s="535">
        <f t="shared" si="57"/>
        <v>0</v>
      </c>
      <c r="O259" s="535">
        <f>O263+O267+O271+O275</f>
        <v>12252</v>
      </c>
      <c r="P259" s="507">
        <f t="shared" si="57"/>
        <v>2</v>
      </c>
    </row>
    <row r="260" spans="1:16" ht="11.25" customHeight="1">
      <c r="A260" s="513"/>
      <c r="B260" s="619" t="s">
        <v>316</v>
      </c>
      <c r="C260" s="515" t="s">
        <v>632</v>
      </c>
      <c r="D260" s="516" t="s">
        <v>502</v>
      </c>
      <c r="E260" s="501"/>
      <c r="F260" s="501"/>
      <c r="G260" s="516"/>
      <c r="H260" s="501"/>
      <c r="I260" s="515"/>
      <c r="J260" s="501"/>
      <c r="K260" s="535"/>
      <c r="L260" s="501"/>
      <c r="M260" s="501"/>
      <c r="N260" s="501"/>
      <c r="O260" s="569"/>
      <c r="P260" s="507"/>
    </row>
    <row r="261" spans="1:16" ht="11.25" customHeight="1">
      <c r="A261" s="609"/>
      <c r="B261" s="619"/>
      <c r="C261" s="515"/>
      <c r="D261" s="468" t="s">
        <v>864</v>
      </c>
      <c r="E261" s="501">
        <v>5468</v>
      </c>
      <c r="F261" s="501">
        <v>798</v>
      </c>
      <c r="G261" s="516">
        <v>1283</v>
      </c>
      <c r="H261" s="501"/>
      <c r="I261" s="515"/>
      <c r="J261" s="501"/>
      <c r="K261" s="535">
        <f>SUM(E261:J261)</f>
        <v>7549</v>
      </c>
      <c r="L261" s="501"/>
      <c r="M261" s="501"/>
      <c r="N261" s="501"/>
      <c r="O261" s="569">
        <f>SUM(K261:N261)</f>
        <v>7549</v>
      </c>
      <c r="P261" s="507">
        <v>2</v>
      </c>
    </row>
    <row r="262" spans="1:16" ht="11.25" customHeight="1">
      <c r="A262" s="609"/>
      <c r="B262" s="619"/>
      <c r="C262" s="515"/>
      <c r="D262" s="468" t="s">
        <v>865</v>
      </c>
      <c r="E262" s="501">
        <v>3428</v>
      </c>
      <c r="F262" s="501">
        <v>843</v>
      </c>
      <c r="G262" s="516">
        <v>3480</v>
      </c>
      <c r="H262" s="501"/>
      <c r="I262" s="515"/>
      <c r="J262" s="501"/>
      <c r="K262" s="535">
        <f aca="true" t="shared" si="58" ref="K262:K275">SUM(E262:J262)</f>
        <v>7751</v>
      </c>
      <c r="L262" s="501"/>
      <c r="M262" s="501"/>
      <c r="N262" s="501"/>
      <c r="O262" s="569">
        <f aca="true" t="shared" si="59" ref="O262:O275">SUM(K262:N262)</f>
        <v>7751</v>
      </c>
      <c r="P262" s="507">
        <v>2</v>
      </c>
    </row>
    <row r="263" spans="1:16" ht="11.25" customHeight="1">
      <c r="A263" s="609"/>
      <c r="B263" s="619"/>
      <c r="C263" s="515"/>
      <c r="D263" s="468" t="s">
        <v>866</v>
      </c>
      <c r="E263" s="501">
        <v>3258</v>
      </c>
      <c r="F263" s="501">
        <v>843</v>
      </c>
      <c r="G263" s="516">
        <f>455+4+2929+45+1+1</f>
        <v>3435</v>
      </c>
      <c r="H263" s="501"/>
      <c r="I263" s="515"/>
      <c r="J263" s="501"/>
      <c r="K263" s="535">
        <f>SUM(E263:J263)</f>
        <v>7536</v>
      </c>
      <c r="L263" s="501"/>
      <c r="M263" s="501"/>
      <c r="N263" s="501"/>
      <c r="O263" s="569">
        <f>SUM(K263:N263)</f>
        <v>7536</v>
      </c>
      <c r="P263" s="507">
        <v>2</v>
      </c>
    </row>
    <row r="264" spans="1:16" ht="11.25" customHeight="1">
      <c r="A264" s="609"/>
      <c r="B264" s="619" t="s">
        <v>318</v>
      </c>
      <c r="C264" s="515" t="s">
        <v>631</v>
      </c>
      <c r="D264" s="516" t="s">
        <v>491</v>
      </c>
      <c r="E264" s="501"/>
      <c r="F264" s="501"/>
      <c r="G264" s="516"/>
      <c r="H264" s="501"/>
      <c r="I264" s="515"/>
      <c r="J264" s="501"/>
      <c r="K264" s="535"/>
      <c r="L264" s="501"/>
      <c r="M264" s="501"/>
      <c r="N264" s="501"/>
      <c r="O264" s="569"/>
      <c r="P264" s="507"/>
    </row>
    <row r="265" spans="1:16" ht="11.25" customHeight="1">
      <c r="A265" s="609"/>
      <c r="B265" s="619"/>
      <c r="C265" s="515"/>
      <c r="D265" s="468" t="s">
        <v>864</v>
      </c>
      <c r="E265" s="501"/>
      <c r="F265" s="501"/>
      <c r="G265" s="516">
        <v>694</v>
      </c>
      <c r="H265" s="501"/>
      <c r="I265" s="515"/>
      <c r="J265" s="501">
        <v>2500</v>
      </c>
      <c r="K265" s="535">
        <f t="shared" si="58"/>
        <v>3194</v>
      </c>
      <c r="L265" s="501"/>
      <c r="M265" s="501"/>
      <c r="N265" s="501"/>
      <c r="O265" s="569">
        <f t="shared" si="59"/>
        <v>3194</v>
      </c>
      <c r="P265" s="507"/>
    </row>
    <row r="266" spans="1:16" ht="11.25" customHeight="1">
      <c r="A266" s="609"/>
      <c r="B266" s="619"/>
      <c r="C266" s="515"/>
      <c r="D266" s="468" t="s">
        <v>865</v>
      </c>
      <c r="E266" s="501"/>
      <c r="F266" s="501"/>
      <c r="G266" s="516">
        <v>801</v>
      </c>
      <c r="H266" s="501"/>
      <c r="I266" s="515"/>
      <c r="J266" s="501">
        <v>2500</v>
      </c>
      <c r="K266" s="535">
        <f t="shared" si="58"/>
        <v>3301</v>
      </c>
      <c r="L266" s="501"/>
      <c r="M266" s="501"/>
      <c r="N266" s="501"/>
      <c r="O266" s="569">
        <f t="shared" si="59"/>
        <v>3301</v>
      </c>
      <c r="P266" s="507"/>
    </row>
    <row r="267" spans="1:16" ht="11.25" customHeight="1">
      <c r="A267" s="513"/>
      <c r="B267" s="619"/>
      <c r="C267" s="515"/>
      <c r="D267" s="468" t="s">
        <v>866</v>
      </c>
      <c r="E267" s="501"/>
      <c r="F267" s="501"/>
      <c r="G267" s="516">
        <f>110+104+54+8+1</f>
        <v>277</v>
      </c>
      <c r="H267" s="501"/>
      <c r="I267" s="515"/>
      <c r="J267" s="501">
        <v>1851</v>
      </c>
      <c r="K267" s="535">
        <f t="shared" si="58"/>
        <v>2128</v>
      </c>
      <c r="L267" s="501"/>
      <c r="M267" s="501"/>
      <c r="N267" s="501"/>
      <c r="O267" s="569">
        <f t="shared" si="59"/>
        <v>2128</v>
      </c>
      <c r="P267" s="507"/>
    </row>
    <row r="268" spans="1:16" ht="11.25" customHeight="1">
      <c r="A268" s="513"/>
      <c r="B268" s="619" t="s">
        <v>319</v>
      </c>
      <c r="C268" s="515" t="s">
        <v>632</v>
      </c>
      <c r="D268" s="559" t="s">
        <v>668</v>
      </c>
      <c r="E268" s="501"/>
      <c r="F268" s="501"/>
      <c r="G268" s="516"/>
      <c r="H268" s="501"/>
      <c r="I268" s="515"/>
      <c r="J268" s="501"/>
      <c r="K268" s="535"/>
      <c r="L268" s="501"/>
      <c r="M268" s="501"/>
      <c r="N268" s="501"/>
      <c r="O268" s="569"/>
      <c r="P268" s="507"/>
    </row>
    <row r="269" spans="1:16" ht="11.25" customHeight="1">
      <c r="A269" s="609"/>
      <c r="B269" s="619"/>
      <c r="C269" s="515"/>
      <c r="D269" s="468" t="s">
        <v>864</v>
      </c>
      <c r="E269" s="501"/>
      <c r="F269" s="501"/>
      <c r="G269" s="516">
        <v>850</v>
      </c>
      <c r="H269" s="501"/>
      <c r="I269" s="515"/>
      <c r="J269" s="501"/>
      <c r="K269" s="535">
        <f t="shared" si="58"/>
        <v>850</v>
      </c>
      <c r="L269" s="501">
        <v>1200</v>
      </c>
      <c r="M269" s="501"/>
      <c r="N269" s="501"/>
      <c r="O269" s="569">
        <f t="shared" si="59"/>
        <v>2050</v>
      </c>
      <c r="P269" s="507"/>
    </row>
    <row r="270" spans="1:16" ht="11.25" customHeight="1">
      <c r="A270" s="609"/>
      <c r="B270" s="619"/>
      <c r="C270" s="515"/>
      <c r="D270" s="468" t="s">
        <v>865</v>
      </c>
      <c r="E270" s="501"/>
      <c r="F270" s="501"/>
      <c r="G270" s="516">
        <v>2050</v>
      </c>
      <c r="H270" s="501"/>
      <c r="I270" s="515"/>
      <c r="J270" s="501"/>
      <c r="K270" s="535">
        <f t="shared" si="58"/>
        <v>2050</v>
      </c>
      <c r="L270" s="501">
        <v>1370</v>
      </c>
      <c r="M270" s="501"/>
      <c r="N270" s="501"/>
      <c r="O270" s="569">
        <f t="shared" si="59"/>
        <v>3420</v>
      </c>
      <c r="P270" s="507"/>
    </row>
    <row r="271" spans="1:16" ht="11.25" customHeight="1">
      <c r="A271" s="609"/>
      <c r="B271" s="619"/>
      <c r="C271" s="515"/>
      <c r="D271" s="468" t="s">
        <v>866</v>
      </c>
      <c r="E271" s="501"/>
      <c r="F271" s="501"/>
      <c r="G271" s="516">
        <f>843+228+1</f>
        <v>1072</v>
      </c>
      <c r="H271" s="501"/>
      <c r="I271" s="515"/>
      <c r="J271" s="501"/>
      <c r="K271" s="535">
        <f t="shared" si="58"/>
        <v>1072</v>
      </c>
      <c r="L271" s="501">
        <v>1366</v>
      </c>
      <c r="M271" s="501"/>
      <c r="N271" s="501"/>
      <c r="O271" s="569">
        <f>SUM(K271:N271)</f>
        <v>2438</v>
      </c>
      <c r="P271" s="507"/>
    </row>
    <row r="272" spans="1:16" ht="11.25" customHeight="1">
      <c r="A272" s="609"/>
      <c r="B272" s="619" t="s">
        <v>321</v>
      </c>
      <c r="C272" s="515" t="s">
        <v>632</v>
      </c>
      <c r="D272" s="559" t="s">
        <v>849</v>
      </c>
      <c r="E272" s="501"/>
      <c r="F272" s="501"/>
      <c r="G272" s="516"/>
      <c r="H272" s="501"/>
      <c r="I272" s="515"/>
      <c r="J272" s="501"/>
      <c r="K272" s="535"/>
      <c r="L272" s="501"/>
      <c r="M272" s="501"/>
      <c r="N272" s="501"/>
      <c r="O272" s="569"/>
      <c r="P272" s="507"/>
    </row>
    <row r="273" spans="1:16" ht="11.25" customHeight="1">
      <c r="A273" s="513"/>
      <c r="B273" s="619"/>
      <c r="C273" s="515"/>
      <c r="D273" s="468" t="s">
        <v>864</v>
      </c>
      <c r="E273" s="501"/>
      <c r="F273" s="501"/>
      <c r="G273" s="516"/>
      <c r="H273" s="501"/>
      <c r="I273" s="515"/>
      <c r="J273" s="501"/>
      <c r="K273" s="535">
        <f t="shared" si="58"/>
        <v>0</v>
      </c>
      <c r="L273" s="501"/>
      <c r="M273" s="501"/>
      <c r="N273" s="501"/>
      <c r="O273" s="569">
        <f t="shared" si="59"/>
        <v>0</v>
      </c>
      <c r="P273" s="507"/>
    </row>
    <row r="274" spans="1:16" ht="11.25" customHeight="1">
      <c r="A274" s="513"/>
      <c r="B274" s="619"/>
      <c r="C274" s="515"/>
      <c r="D274" s="468" t="s">
        <v>865</v>
      </c>
      <c r="E274" s="501"/>
      <c r="F274" s="501"/>
      <c r="G274" s="516"/>
      <c r="H274" s="501"/>
      <c r="I274" s="515">
        <v>150</v>
      </c>
      <c r="J274" s="501"/>
      <c r="K274" s="535">
        <f t="shared" si="58"/>
        <v>150</v>
      </c>
      <c r="L274" s="501"/>
      <c r="M274" s="501"/>
      <c r="N274" s="501"/>
      <c r="O274" s="569">
        <f t="shared" si="59"/>
        <v>150</v>
      </c>
      <c r="P274" s="507"/>
    </row>
    <row r="275" spans="1:16" ht="11.25" customHeight="1" thickBot="1">
      <c r="A275" s="571"/>
      <c r="B275" s="620"/>
      <c r="C275" s="572"/>
      <c r="D275" s="573" t="s">
        <v>866</v>
      </c>
      <c r="E275" s="574"/>
      <c r="F275" s="574"/>
      <c r="G275" s="621"/>
      <c r="H275" s="574"/>
      <c r="I275" s="572">
        <v>150</v>
      </c>
      <c r="J275" s="574"/>
      <c r="K275" s="575">
        <f t="shared" si="58"/>
        <v>150</v>
      </c>
      <c r="L275" s="574"/>
      <c r="M275" s="574"/>
      <c r="N275" s="574"/>
      <c r="O275" s="601">
        <f t="shared" si="59"/>
        <v>150</v>
      </c>
      <c r="P275" s="576"/>
    </row>
    <row r="276" spans="1:16" s="24" customFormat="1" ht="11.25" customHeight="1">
      <c r="A276" s="550" t="s">
        <v>416</v>
      </c>
      <c r="B276" s="508" t="s">
        <v>446</v>
      </c>
      <c r="C276" s="509"/>
      <c r="D276" s="522" t="s">
        <v>559</v>
      </c>
      <c r="E276" s="537"/>
      <c r="F276" s="537"/>
      <c r="G276" s="537"/>
      <c r="H276" s="537"/>
      <c r="I276" s="577"/>
      <c r="J276" s="537"/>
      <c r="K276" s="537"/>
      <c r="L276" s="537"/>
      <c r="M276" s="537"/>
      <c r="N276" s="537"/>
      <c r="O276" s="522"/>
      <c r="P276" s="512"/>
    </row>
    <row r="277" spans="1:16" s="24" customFormat="1" ht="11.25" customHeight="1">
      <c r="A277" s="513"/>
      <c r="B277" s="514"/>
      <c r="C277" s="515"/>
      <c r="D277" s="468" t="s">
        <v>864</v>
      </c>
      <c r="E277" s="535">
        <f>E281+E285</f>
        <v>0</v>
      </c>
      <c r="F277" s="535">
        <f aca="true" t="shared" si="60" ref="F277:O277">F281+F285</f>
        <v>0</v>
      </c>
      <c r="G277" s="535">
        <f t="shared" si="60"/>
        <v>30062</v>
      </c>
      <c r="H277" s="535">
        <f t="shared" si="60"/>
        <v>0</v>
      </c>
      <c r="I277" s="535">
        <f t="shared" si="60"/>
        <v>0</v>
      </c>
      <c r="J277" s="535">
        <f t="shared" si="60"/>
        <v>0</v>
      </c>
      <c r="K277" s="535">
        <f t="shared" si="60"/>
        <v>30062</v>
      </c>
      <c r="L277" s="535">
        <f t="shared" si="60"/>
        <v>0</v>
      </c>
      <c r="M277" s="535">
        <f t="shared" si="60"/>
        <v>0</v>
      </c>
      <c r="N277" s="535">
        <f t="shared" si="60"/>
        <v>0</v>
      </c>
      <c r="O277" s="535">
        <f t="shared" si="60"/>
        <v>30062</v>
      </c>
      <c r="P277" s="507"/>
    </row>
    <row r="278" spans="1:16" s="24" customFormat="1" ht="11.25" customHeight="1">
      <c r="A278" s="513"/>
      <c r="B278" s="514"/>
      <c r="C278" s="515"/>
      <c r="D278" s="468" t="s">
        <v>865</v>
      </c>
      <c r="E278" s="535">
        <f>E282+E286</f>
        <v>0</v>
      </c>
      <c r="F278" s="535">
        <f aca="true" t="shared" si="61" ref="F278:O278">F282+F286</f>
        <v>0</v>
      </c>
      <c r="G278" s="535">
        <f t="shared" si="61"/>
        <v>30262</v>
      </c>
      <c r="H278" s="535">
        <f t="shared" si="61"/>
        <v>0</v>
      </c>
      <c r="I278" s="535">
        <f t="shared" si="61"/>
        <v>0</v>
      </c>
      <c r="J278" s="535">
        <f t="shared" si="61"/>
        <v>0</v>
      </c>
      <c r="K278" s="535">
        <f t="shared" si="61"/>
        <v>30262</v>
      </c>
      <c r="L278" s="535">
        <f t="shared" si="61"/>
        <v>0</v>
      </c>
      <c r="M278" s="535">
        <f t="shared" si="61"/>
        <v>0</v>
      </c>
      <c r="N278" s="535">
        <f t="shared" si="61"/>
        <v>0</v>
      </c>
      <c r="O278" s="535">
        <f t="shared" si="61"/>
        <v>30262</v>
      </c>
      <c r="P278" s="507"/>
    </row>
    <row r="279" spans="1:16" s="24" customFormat="1" ht="11.25" customHeight="1">
      <c r="A279" s="550"/>
      <c r="B279" s="508"/>
      <c r="C279" s="515"/>
      <c r="D279" s="468" t="s">
        <v>866</v>
      </c>
      <c r="E279" s="535">
        <f>E283+E287</f>
        <v>0</v>
      </c>
      <c r="F279" s="535">
        <f aca="true" t="shared" si="62" ref="F279:N279">F283+F287</f>
        <v>0</v>
      </c>
      <c r="G279" s="535">
        <f>G283+G287</f>
        <v>27848</v>
      </c>
      <c r="H279" s="535">
        <f t="shared" si="62"/>
        <v>0</v>
      </c>
      <c r="I279" s="535">
        <f t="shared" si="62"/>
        <v>0</v>
      </c>
      <c r="J279" s="535">
        <f t="shared" si="62"/>
        <v>0</v>
      </c>
      <c r="K279" s="535">
        <f>K283+K287</f>
        <v>27848</v>
      </c>
      <c r="L279" s="535">
        <f t="shared" si="62"/>
        <v>0</v>
      </c>
      <c r="M279" s="535">
        <f t="shared" si="62"/>
        <v>0</v>
      </c>
      <c r="N279" s="535">
        <f t="shared" si="62"/>
        <v>0</v>
      </c>
      <c r="O279" s="535">
        <f>O283+O287</f>
        <v>27848</v>
      </c>
      <c r="P279" s="507"/>
    </row>
    <row r="280" spans="1:16" ht="11.25" customHeight="1">
      <c r="A280" s="541"/>
      <c r="B280" s="514" t="s">
        <v>316</v>
      </c>
      <c r="C280" s="515" t="s">
        <v>631</v>
      </c>
      <c r="D280" s="559" t="s">
        <v>441</v>
      </c>
      <c r="E280" s="501"/>
      <c r="F280" s="501"/>
      <c r="G280" s="516"/>
      <c r="H280" s="501"/>
      <c r="I280" s="515"/>
      <c r="J280" s="501"/>
      <c r="K280" s="535"/>
      <c r="L280" s="501"/>
      <c r="M280" s="501"/>
      <c r="N280" s="501"/>
      <c r="O280" s="569"/>
      <c r="P280" s="507"/>
    </row>
    <row r="281" spans="1:16" ht="11.25" customHeight="1">
      <c r="A281" s="622"/>
      <c r="B281" s="508"/>
      <c r="C281" s="515"/>
      <c r="D281" s="468" t="s">
        <v>864</v>
      </c>
      <c r="E281" s="501"/>
      <c r="F281" s="501"/>
      <c r="G281" s="516">
        <v>29900</v>
      </c>
      <c r="H281" s="501"/>
      <c r="I281" s="515"/>
      <c r="J281" s="501"/>
      <c r="K281" s="535">
        <v>29900</v>
      </c>
      <c r="L281" s="501"/>
      <c r="M281" s="501"/>
      <c r="N281" s="501"/>
      <c r="O281" s="569">
        <v>29900</v>
      </c>
      <c r="P281" s="507"/>
    </row>
    <row r="282" spans="1:16" ht="11.25" customHeight="1">
      <c r="A282" s="541"/>
      <c r="B282" s="514"/>
      <c r="C282" s="515"/>
      <c r="D282" s="468" t="s">
        <v>865</v>
      </c>
      <c r="E282" s="501"/>
      <c r="F282" s="501"/>
      <c r="G282" s="516">
        <v>28800</v>
      </c>
      <c r="H282" s="501"/>
      <c r="I282" s="515"/>
      <c r="J282" s="501"/>
      <c r="K282" s="535">
        <v>28800</v>
      </c>
      <c r="L282" s="501"/>
      <c r="M282" s="501"/>
      <c r="N282" s="501"/>
      <c r="O282" s="569">
        <v>28800</v>
      </c>
      <c r="P282" s="507"/>
    </row>
    <row r="283" spans="1:16" ht="11.25" customHeight="1">
      <c r="A283" s="541"/>
      <c r="B283" s="514"/>
      <c r="C283" s="515"/>
      <c r="D283" s="468" t="s">
        <v>866</v>
      </c>
      <c r="E283" s="501"/>
      <c r="F283" s="501"/>
      <c r="G283" s="516">
        <v>26712</v>
      </c>
      <c r="H283" s="501"/>
      <c r="I283" s="515"/>
      <c r="J283" s="501"/>
      <c r="K283" s="535">
        <v>26712</v>
      </c>
      <c r="L283" s="501"/>
      <c r="M283" s="501"/>
      <c r="N283" s="501"/>
      <c r="O283" s="569">
        <v>26712</v>
      </c>
      <c r="P283" s="507"/>
    </row>
    <row r="284" spans="1:16" ht="11.25" customHeight="1">
      <c r="A284" s="541"/>
      <c r="B284" s="514" t="s">
        <v>318</v>
      </c>
      <c r="C284" s="515" t="s">
        <v>632</v>
      </c>
      <c r="D284" s="559" t="s">
        <v>578</v>
      </c>
      <c r="E284" s="501"/>
      <c r="F284" s="501"/>
      <c r="G284" s="516"/>
      <c r="H284" s="501"/>
      <c r="I284" s="515"/>
      <c r="J284" s="501"/>
      <c r="K284" s="535"/>
      <c r="L284" s="501"/>
      <c r="M284" s="501"/>
      <c r="N284" s="501"/>
      <c r="O284" s="569"/>
      <c r="P284" s="507"/>
    </row>
    <row r="285" spans="1:16" ht="11.25" customHeight="1">
      <c r="A285" s="541"/>
      <c r="B285" s="514"/>
      <c r="C285" s="515"/>
      <c r="D285" s="468" t="s">
        <v>864</v>
      </c>
      <c r="E285" s="501"/>
      <c r="F285" s="501"/>
      <c r="G285" s="516">
        <v>162</v>
      </c>
      <c r="H285" s="501"/>
      <c r="I285" s="515"/>
      <c r="J285" s="501"/>
      <c r="K285" s="535">
        <v>162</v>
      </c>
      <c r="L285" s="501"/>
      <c r="M285" s="501"/>
      <c r="N285" s="501"/>
      <c r="O285" s="569">
        <v>162</v>
      </c>
      <c r="P285" s="507"/>
    </row>
    <row r="286" spans="1:16" ht="11.25" customHeight="1">
      <c r="A286" s="541"/>
      <c r="B286" s="514"/>
      <c r="C286" s="515"/>
      <c r="D286" s="468" t="s">
        <v>865</v>
      </c>
      <c r="E286" s="501"/>
      <c r="F286" s="501"/>
      <c r="G286" s="516">
        <v>1462</v>
      </c>
      <c r="H286" s="501"/>
      <c r="I286" s="515"/>
      <c r="J286" s="501"/>
      <c r="K286" s="535">
        <v>1462</v>
      </c>
      <c r="L286" s="501"/>
      <c r="M286" s="501"/>
      <c r="N286" s="501"/>
      <c r="O286" s="569">
        <v>1462</v>
      </c>
      <c r="P286" s="507"/>
    </row>
    <row r="287" spans="1:16" ht="11.25" customHeight="1" thickBot="1">
      <c r="A287" s="622"/>
      <c r="B287" s="508"/>
      <c r="C287" s="509"/>
      <c r="D287" s="461" t="s">
        <v>866</v>
      </c>
      <c r="E287" s="510"/>
      <c r="F287" s="510"/>
      <c r="G287" s="511">
        <v>1136</v>
      </c>
      <c r="H287" s="510"/>
      <c r="I287" s="509"/>
      <c r="J287" s="510"/>
      <c r="K287" s="537">
        <v>1136</v>
      </c>
      <c r="L287" s="510"/>
      <c r="M287" s="510"/>
      <c r="N287" s="510"/>
      <c r="O287" s="522">
        <v>1136</v>
      </c>
      <c r="P287" s="512"/>
    </row>
    <row r="288" spans="1:16" s="24" customFormat="1" ht="11.25" customHeight="1">
      <c r="A288" s="564" t="s">
        <v>599</v>
      </c>
      <c r="B288" s="565" t="s">
        <v>446</v>
      </c>
      <c r="C288" s="566"/>
      <c r="D288" s="567" t="s">
        <v>440</v>
      </c>
      <c r="E288" s="530"/>
      <c r="F288" s="530"/>
      <c r="G288" s="530"/>
      <c r="H288" s="530"/>
      <c r="I288" s="568"/>
      <c r="J288" s="530"/>
      <c r="K288" s="530"/>
      <c r="L288" s="530"/>
      <c r="M288" s="530"/>
      <c r="N288" s="530"/>
      <c r="O288" s="567"/>
      <c r="P288" s="531"/>
    </row>
    <row r="289" spans="1:16" s="24" customFormat="1" ht="11.25" customHeight="1">
      <c r="A289" s="513"/>
      <c r="B289" s="514"/>
      <c r="C289" s="515"/>
      <c r="D289" s="468" t="s">
        <v>864</v>
      </c>
      <c r="E289" s="535">
        <f>E293+E297+E301</f>
        <v>0</v>
      </c>
      <c r="F289" s="535">
        <f aca="true" t="shared" si="63" ref="F289:O289">F293+F297+F301</f>
        <v>0</v>
      </c>
      <c r="G289" s="535">
        <f t="shared" si="63"/>
        <v>34386</v>
      </c>
      <c r="H289" s="535">
        <f t="shared" si="63"/>
        <v>0</v>
      </c>
      <c r="I289" s="535">
        <f t="shared" si="63"/>
        <v>0</v>
      </c>
      <c r="J289" s="535">
        <f t="shared" si="63"/>
        <v>0</v>
      </c>
      <c r="K289" s="535">
        <f t="shared" si="63"/>
        <v>34386</v>
      </c>
      <c r="L289" s="535">
        <f t="shared" si="63"/>
        <v>0</v>
      </c>
      <c r="M289" s="535">
        <f t="shared" si="63"/>
        <v>0</v>
      </c>
      <c r="N289" s="535">
        <f t="shared" si="63"/>
        <v>0</v>
      </c>
      <c r="O289" s="535">
        <f t="shared" si="63"/>
        <v>34386</v>
      </c>
      <c r="P289" s="507"/>
    </row>
    <row r="290" spans="1:16" s="24" customFormat="1" ht="11.25" customHeight="1">
      <c r="A290" s="513"/>
      <c r="B290" s="514"/>
      <c r="C290" s="515"/>
      <c r="D290" s="468" t="s">
        <v>865</v>
      </c>
      <c r="E290" s="535">
        <f aca="true" t="shared" si="64" ref="E290:O291">E294+E298+E302</f>
        <v>0</v>
      </c>
      <c r="F290" s="535">
        <f t="shared" si="64"/>
        <v>0</v>
      </c>
      <c r="G290" s="535">
        <f t="shared" si="64"/>
        <v>35439</v>
      </c>
      <c r="H290" s="535">
        <f t="shared" si="64"/>
        <v>0</v>
      </c>
      <c r="I290" s="535">
        <f t="shared" si="64"/>
        <v>0</v>
      </c>
      <c r="J290" s="535">
        <f t="shared" si="64"/>
        <v>0</v>
      </c>
      <c r="K290" s="535">
        <f t="shared" si="64"/>
        <v>35439</v>
      </c>
      <c r="L290" s="535">
        <f t="shared" si="64"/>
        <v>0</v>
      </c>
      <c r="M290" s="535">
        <f t="shared" si="64"/>
        <v>0</v>
      </c>
      <c r="N290" s="535">
        <f t="shared" si="64"/>
        <v>0</v>
      </c>
      <c r="O290" s="535">
        <f t="shared" si="64"/>
        <v>35439</v>
      </c>
      <c r="P290" s="507"/>
    </row>
    <row r="291" spans="1:16" s="24" customFormat="1" ht="11.25" customHeight="1">
      <c r="A291" s="513"/>
      <c r="B291" s="514"/>
      <c r="C291" s="515"/>
      <c r="D291" s="468" t="s">
        <v>866</v>
      </c>
      <c r="E291" s="535">
        <f t="shared" si="64"/>
        <v>0</v>
      </c>
      <c r="F291" s="535">
        <f t="shared" si="64"/>
        <v>0</v>
      </c>
      <c r="G291" s="535">
        <f>G295+G299+G303</f>
        <v>25471</v>
      </c>
      <c r="H291" s="535">
        <f t="shared" si="64"/>
        <v>0</v>
      </c>
      <c r="I291" s="535">
        <f t="shared" si="64"/>
        <v>0</v>
      </c>
      <c r="J291" s="535">
        <f t="shared" si="64"/>
        <v>0</v>
      </c>
      <c r="K291" s="535">
        <f>K295+K299+K303</f>
        <v>25471</v>
      </c>
      <c r="L291" s="535">
        <f t="shared" si="64"/>
        <v>0</v>
      </c>
      <c r="M291" s="535">
        <f t="shared" si="64"/>
        <v>0</v>
      </c>
      <c r="N291" s="535">
        <f t="shared" si="64"/>
        <v>0</v>
      </c>
      <c r="O291" s="535">
        <f>O295+O299+O303</f>
        <v>25471</v>
      </c>
      <c r="P291" s="507"/>
    </row>
    <row r="292" spans="1:16" ht="11.25" customHeight="1">
      <c r="A292" s="513"/>
      <c r="B292" s="514">
        <v>1</v>
      </c>
      <c r="C292" s="515" t="s">
        <v>631</v>
      </c>
      <c r="D292" s="559" t="s">
        <v>576</v>
      </c>
      <c r="E292" s="501"/>
      <c r="F292" s="501"/>
      <c r="G292" s="501"/>
      <c r="H292" s="501"/>
      <c r="I292" s="515"/>
      <c r="J292" s="501"/>
      <c r="K292" s="535"/>
      <c r="L292" s="501"/>
      <c r="M292" s="501"/>
      <c r="N292" s="501"/>
      <c r="O292" s="569"/>
      <c r="P292" s="507"/>
    </row>
    <row r="293" spans="1:16" ht="11.25" customHeight="1">
      <c r="A293" s="513"/>
      <c r="B293" s="514"/>
      <c r="C293" s="515"/>
      <c r="D293" s="468" t="s">
        <v>864</v>
      </c>
      <c r="E293" s="501"/>
      <c r="F293" s="501"/>
      <c r="G293" s="501">
        <v>9405</v>
      </c>
      <c r="H293" s="501"/>
      <c r="I293" s="515"/>
      <c r="J293" s="501"/>
      <c r="K293" s="535">
        <f>SUM(E293:J293)</f>
        <v>9405</v>
      </c>
      <c r="L293" s="501"/>
      <c r="M293" s="501"/>
      <c r="N293" s="501"/>
      <c r="O293" s="569">
        <f>SUM(K293:N293)</f>
        <v>9405</v>
      </c>
      <c r="P293" s="507"/>
    </row>
    <row r="294" spans="1:16" ht="11.25" customHeight="1">
      <c r="A294" s="513"/>
      <c r="B294" s="514"/>
      <c r="C294" s="515"/>
      <c r="D294" s="468" t="s">
        <v>865</v>
      </c>
      <c r="E294" s="501"/>
      <c r="F294" s="501"/>
      <c r="G294" s="501">
        <v>10077</v>
      </c>
      <c r="H294" s="501"/>
      <c r="I294" s="515"/>
      <c r="J294" s="501"/>
      <c r="K294" s="535">
        <f aca="true" t="shared" si="65" ref="K294:K303">SUM(E294:J294)</f>
        <v>10077</v>
      </c>
      <c r="L294" s="501"/>
      <c r="M294" s="501"/>
      <c r="N294" s="501"/>
      <c r="O294" s="569">
        <f aca="true" t="shared" si="66" ref="O294:O303">SUM(K294:N294)</f>
        <v>10077</v>
      </c>
      <c r="P294" s="507"/>
    </row>
    <row r="295" spans="1:16" ht="11.25" customHeight="1">
      <c r="A295" s="513"/>
      <c r="B295" s="514"/>
      <c r="C295" s="515"/>
      <c r="D295" s="468" t="s">
        <v>866</v>
      </c>
      <c r="E295" s="501"/>
      <c r="F295" s="501"/>
      <c r="G295" s="501">
        <v>3511</v>
      </c>
      <c r="H295" s="501"/>
      <c r="I295" s="515"/>
      <c r="J295" s="501"/>
      <c r="K295" s="535">
        <f t="shared" si="65"/>
        <v>3511</v>
      </c>
      <c r="L295" s="501"/>
      <c r="M295" s="501"/>
      <c r="N295" s="501"/>
      <c r="O295" s="569">
        <f t="shared" si="66"/>
        <v>3511</v>
      </c>
      <c r="P295" s="507"/>
    </row>
    <row r="296" spans="1:16" ht="11.25" customHeight="1">
      <c r="A296" s="513"/>
      <c r="B296" s="514">
        <v>2</v>
      </c>
      <c r="C296" s="515" t="s">
        <v>631</v>
      </c>
      <c r="D296" s="559" t="s">
        <v>577</v>
      </c>
      <c r="E296" s="560"/>
      <c r="F296" s="560"/>
      <c r="G296" s="501"/>
      <c r="H296" s="501"/>
      <c r="I296" s="515"/>
      <c r="J296" s="501"/>
      <c r="K296" s="535"/>
      <c r="L296" s="501"/>
      <c r="M296" s="501"/>
      <c r="N296" s="501"/>
      <c r="O296" s="569"/>
      <c r="P296" s="507"/>
    </row>
    <row r="297" spans="1:16" ht="11.25" customHeight="1">
      <c r="A297" s="513"/>
      <c r="B297" s="514"/>
      <c r="C297" s="515"/>
      <c r="D297" s="468" t="s">
        <v>864</v>
      </c>
      <c r="E297" s="560"/>
      <c r="F297" s="560"/>
      <c r="G297" s="501">
        <v>21717</v>
      </c>
      <c r="H297" s="501"/>
      <c r="I297" s="515"/>
      <c r="J297" s="501"/>
      <c r="K297" s="535">
        <f t="shared" si="65"/>
        <v>21717</v>
      </c>
      <c r="L297" s="501"/>
      <c r="M297" s="501"/>
      <c r="N297" s="501"/>
      <c r="O297" s="569">
        <f t="shared" si="66"/>
        <v>21717</v>
      </c>
      <c r="P297" s="507"/>
    </row>
    <row r="298" spans="1:16" ht="11.25" customHeight="1">
      <c r="A298" s="513"/>
      <c r="B298" s="514"/>
      <c r="C298" s="515"/>
      <c r="D298" s="468" t="s">
        <v>865</v>
      </c>
      <c r="E298" s="560"/>
      <c r="F298" s="560"/>
      <c r="G298" s="501">
        <v>22098</v>
      </c>
      <c r="H298" s="501"/>
      <c r="I298" s="515"/>
      <c r="J298" s="501"/>
      <c r="K298" s="535">
        <f t="shared" si="65"/>
        <v>22098</v>
      </c>
      <c r="L298" s="501"/>
      <c r="M298" s="501"/>
      <c r="N298" s="501"/>
      <c r="O298" s="569">
        <f t="shared" si="66"/>
        <v>22098</v>
      </c>
      <c r="P298" s="507"/>
    </row>
    <row r="299" spans="1:16" ht="11.25" customHeight="1">
      <c r="A299" s="513"/>
      <c r="B299" s="514"/>
      <c r="C299" s="515"/>
      <c r="D299" s="468" t="s">
        <v>866</v>
      </c>
      <c r="E299" s="560"/>
      <c r="F299" s="560"/>
      <c r="G299" s="501">
        <v>21960</v>
      </c>
      <c r="H299" s="501"/>
      <c r="I299" s="515"/>
      <c r="J299" s="501"/>
      <c r="K299" s="535">
        <f t="shared" si="65"/>
        <v>21960</v>
      </c>
      <c r="L299" s="501"/>
      <c r="M299" s="501"/>
      <c r="N299" s="501"/>
      <c r="O299" s="569">
        <f t="shared" si="66"/>
        <v>21960</v>
      </c>
      <c r="P299" s="507"/>
    </row>
    <row r="300" spans="1:16" ht="11.25" customHeight="1">
      <c r="A300" s="513"/>
      <c r="B300" s="514">
        <v>3</v>
      </c>
      <c r="C300" s="515" t="s">
        <v>631</v>
      </c>
      <c r="D300" s="559" t="s">
        <v>580</v>
      </c>
      <c r="E300" s="560"/>
      <c r="F300" s="560"/>
      <c r="G300" s="501"/>
      <c r="H300" s="501"/>
      <c r="I300" s="515"/>
      <c r="J300" s="501"/>
      <c r="K300" s="535"/>
      <c r="L300" s="501"/>
      <c r="M300" s="501"/>
      <c r="N300" s="501"/>
      <c r="O300" s="569"/>
      <c r="P300" s="507"/>
    </row>
    <row r="301" spans="1:16" ht="11.25" customHeight="1">
      <c r="A301" s="513"/>
      <c r="B301" s="514"/>
      <c r="C301" s="515"/>
      <c r="D301" s="468" t="s">
        <v>864</v>
      </c>
      <c r="E301" s="560"/>
      <c r="F301" s="560"/>
      <c r="G301" s="501">
        <v>3264</v>
      </c>
      <c r="H301" s="501"/>
      <c r="I301" s="515"/>
      <c r="J301" s="501"/>
      <c r="K301" s="535">
        <f t="shared" si="65"/>
        <v>3264</v>
      </c>
      <c r="L301" s="501"/>
      <c r="M301" s="501"/>
      <c r="N301" s="501"/>
      <c r="O301" s="569">
        <f t="shared" si="66"/>
        <v>3264</v>
      </c>
      <c r="P301" s="507"/>
    </row>
    <row r="302" spans="1:16" ht="11.25" customHeight="1">
      <c r="A302" s="513"/>
      <c r="B302" s="514"/>
      <c r="C302" s="515"/>
      <c r="D302" s="468" t="s">
        <v>865</v>
      </c>
      <c r="E302" s="560"/>
      <c r="F302" s="560"/>
      <c r="G302" s="501">
        <v>3264</v>
      </c>
      <c r="H302" s="501"/>
      <c r="I302" s="515"/>
      <c r="J302" s="501"/>
      <c r="K302" s="535">
        <f t="shared" si="65"/>
        <v>3264</v>
      </c>
      <c r="L302" s="501"/>
      <c r="M302" s="501"/>
      <c r="N302" s="501"/>
      <c r="O302" s="569">
        <f t="shared" si="66"/>
        <v>3264</v>
      </c>
      <c r="P302" s="507"/>
    </row>
    <row r="303" spans="1:16" ht="11.25" customHeight="1" thickBot="1">
      <c r="A303" s="571"/>
      <c r="B303" s="543"/>
      <c r="C303" s="572"/>
      <c r="D303" s="573" t="s">
        <v>866</v>
      </c>
      <c r="E303" s="606"/>
      <c r="F303" s="606"/>
      <c r="G303" s="574">
        <v>0</v>
      </c>
      <c r="H303" s="574"/>
      <c r="I303" s="572"/>
      <c r="J303" s="574"/>
      <c r="K303" s="575">
        <f t="shared" si="65"/>
        <v>0</v>
      </c>
      <c r="L303" s="574"/>
      <c r="M303" s="574"/>
      <c r="N303" s="574"/>
      <c r="O303" s="601">
        <f t="shared" si="66"/>
        <v>0</v>
      </c>
      <c r="P303" s="576"/>
    </row>
    <row r="304" spans="1:16" s="24" customFormat="1" ht="11.25" customHeight="1">
      <c r="A304" s="602" t="s">
        <v>417</v>
      </c>
      <c r="B304" s="590" t="s">
        <v>316</v>
      </c>
      <c r="C304" s="628" t="s">
        <v>631</v>
      </c>
      <c r="D304" s="591" t="s">
        <v>503</v>
      </c>
      <c r="E304" s="540"/>
      <c r="F304" s="540"/>
      <c r="G304" s="591"/>
      <c r="H304" s="540"/>
      <c r="I304" s="628"/>
      <c r="J304" s="540"/>
      <c r="K304" s="540"/>
      <c r="L304" s="540"/>
      <c r="M304" s="540"/>
      <c r="N304" s="540"/>
      <c r="O304" s="591"/>
      <c r="P304" s="604"/>
    </row>
    <row r="305" spans="1:16" s="24" customFormat="1" ht="11.25" customHeight="1">
      <c r="A305" s="513"/>
      <c r="B305" s="514"/>
      <c r="C305" s="597"/>
      <c r="D305" s="468" t="s">
        <v>864</v>
      </c>
      <c r="E305" s="535"/>
      <c r="F305" s="535"/>
      <c r="G305" s="569">
        <v>0</v>
      </c>
      <c r="H305" s="535"/>
      <c r="I305" s="597"/>
      <c r="J305" s="535"/>
      <c r="K305" s="535">
        <v>0</v>
      </c>
      <c r="L305" s="535"/>
      <c r="M305" s="535"/>
      <c r="N305" s="535"/>
      <c r="O305" s="569">
        <v>0</v>
      </c>
      <c r="P305" s="507"/>
    </row>
    <row r="306" spans="1:16" s="24" customFormat="1" ht="11.25" customHeight="1">
      <c r="A306" s="513"/>
      <c r="B306" s="514"/>
      <c r="C306" s="597"/>
      <c r="D306" s="468" t="s">
        <v>865</v>
      </c>
      <c r="E306" s="535"/>
      <c r="F306" s="535"/>
      <c r="G306" s="569">
        <v>64</v>
      </c>
      <c r="H306" s="535"/>
      <c r="I306" s="597"/>
      <c r="J306" s="535"/>
      <c r="K306" s="535">
        <v>64</v>
      </c>
      <c r="L306" s="535"/>
      <c r="M306" s="535"/>
      <c r="N306" s="535"/>
      <c r="O306" s="569">
        <v>64</v>
      </c>
      <c r="P306" s="507"/>
    </row>
    <row r="307" spans="1:16" s="24" customFormat="1" ht="11.25" customHeight="1" thickBot="1">
      <c r="A307" s="571"/>
      <c r="B307" s="543"/>
      <c r="C307" s="600"/>
      <c r="D307" s="573" t="s">
        <v>866</v>
      </c>
      <c r="E307" s="575"/>
      <c r="F307" s="575"/>
      <c r="G307" s="601">
        <v>64</v>
      </c>
      <c r="H307" s="575"/>
      <c r="I307" s="600"/>
      <c r="J307" s="575"/>
      <c r="K307" s="575">
        <v>64</v>
      </c>
      <c r="L307" s="575"/>
      <c r="M307" s="575"/>
      <c r="N307" s="575"/>
      <c r="O307" s="601">
        <v>64</v>
      </c>
      <c r="P307" s="576"/>
    </row>
    <row r="308" spans="1:16" s="24" customFormat="1" ht="12.75" customHeight="1">
      <c r="A308" s="602" t="s">
        <v>600</v>
      </c>
      <c r="B308" s="590" t="s">
        <v>316</v>
      </c>
      <c r="C308" s="539" t="s">
        <v>632</v>
      </c>
      <c r="D308" s="591" t="s">
        <v>504</v>
      </c>
      <c r="E308" s="627"/>
      <c r="F308" s="627"/>
      <c r="G308" s="591"/>
      <c r="H308" s="540"/>
      <c r="I308" s="628"/>
      <c r="J308" s="540"/>
      <c r="K308" s="540"/>
      <c r="L308" s="540"/>
      <c r="M308" s="540"/>
      <c r="N308" s="540"/>
      <c r="O308" s="591"/>
      <c r="P308" s="604"/>
    </row>
    <row r="309" spans="1:16" s="24" customFormat="1" ht="12.75" customHeight="1">
      <c r="A309" s="513"/>
      <c r="B309" s="514"/>
      <c r="C309" s="515"/>
      <c r="D309" s="468" t="s">
        <v>864</v>
      </c>
      <c r="E309" s="535"/>
      <c r="F309" s="535"/>
      <c r="G309" s="569">
        <v>1500</v>
      </c>
      <c r="H309" s="535"/>
      <c r="I309" s="597"/>
      <c r="J309" s="535"/>
      <c r="K309" s="535">
        <v>1500</v>
      </c>
      <c r="L309" s="535"/>
      <c r="M309" s="535"/>
      <c r="N309" s="535"/>
      <c r="O309" s="569">
        <v>1500</v>
      </c>
      <c r="P309" s="507"/>
    </row>
    <row r="310" spans="1:16" s="24" customFormat="1" ht="12.75" customHeight="1">
      <c r="A310" s="513"/>
      <c r="B310" s="514"/>
      <c r="C310" s="515"/>
      <c r="D310" s="468" t="s">
        <v>865</v>
      </c>
      <c r="E310" s="535">
        <v>37</v>
      </c>
      <c r="F310" s="535">
        <v>214</v>
      </c>
      <c r="G310" s="569">
        <v>1259</v>
      </c>
      <c r="H310" s="535"/>
      <c r="I310" s="597"/>
      <c r="J310" s="535"/>
      <c r="K310" s="535">
        <v>1510</v>
      </c>
      <c r="L310" s="535"/>
      <c r="M310" s="535"/>
      <c r="N310" s="535"/>
      <c r="O310" s="569">
        <v>1510</v>
      </c>
      <c r="P310" s="507"/>
    </row>
    <row r="311" spans="1:16" s="24" customFormat="1" ht="12.75" customHeight="1" thickBot="1">
      <c r="A311" s="571"/>
      <c r="B311" s="543"/>
      <c r="C311" s="572"/>
      <c r="D311" s="573" t="s">
        <v>866</v>
      </c>
      <c r="E311" s="575">
        <v>37</v>
      </c>
      <c r="F311" s="575">
        <v>210</v>
      </c>
      <c r="G311" s="601">
        <f>26+22+843+213</f>
        <v>1104</v>
      </c>
      <c r="H311" s="575"/>
      <c r="I311" s="600"/>
      <c r="J311" s="575"/>
      <c r="K311" s="575">
        <f>SUM(E311:J311)</f>
        <v>1351</v>
      </c>
      <c r="L311" s="575"/>
      <c r="M311" s="575"/>
      <c r="N311" s="575"/>
      <c r="O311" s="601">
        <v>1351</v>
      </c>
      <c r="P311" s="576"/>
    </row>
    <row r="312" spans="1:16" s="24" customFormat="1" ht="12.75" customHeight="1">
      <c r="A312" s="602" t="s">
        <v>586</v>
      </c>
      <c r="B312" s="590" t="s">
        <v>316</v>
      </c>
      <c r="C312" s="539" t="s">
        <v>632</v>
      </c>
      <c r="D312" s="591" t="s">
        <v>505</v>
      </c>
      <c r="E312" s="540"/>
      <c r="F312" s="540"/>
      <c r="G312" s="591"/>
      <c r="H312" s="540"/>
      <c r="I312" s="628"/>
      <c r="J312" s="540"/>
      <c r="K312" s="540"/>
      <c r="L312" s="540"/>
      <c r="M312" s="540"/>
      <c r="N312" s="540"/>
      <c r="O312" s="591"/>
      <c r="P312" s="604"/>
    </row>
    <row r="313" spans="1:16" s="24" customFormat="1" ht="12.75" customHeight="1">
      <c r="A313" s="513"/>
      <c r="B313" s="514"/>
      <c r="C313" s="515"/>
      <c r="D313" s="468" t="s">
        <v>864</v>
      </c>
      <c r="E313" s="535">
        <v>4210</v>
      </c>
      <c r="F313" s="535">
        <v>1030</v>
      </c>
      <c r="G313" s="569">
        <v>510</v>
      </c>
      <c r="H313" s="535"/>
      <c r="I313" s="597"/>
      <c r="J313" s="535"/>
      <c r="K313" s="535">
        <v>5750</v>
      </c>
      <c r="L313" s="535"/>
      <c r="M313" s="535"/>
      <c r="N313" s="535"/>
      <c r="O313" s="569">
        <v>5750</v>
      </c>
      <c r="P313" s="507">
        <v>2</v>
      </c>
    </row>
    <row r="314" spans="1:16" s="24" customFormat="1" ht="12.75" customHeight="1">
      <c r="A314" s="513"/>
      <c r="B314" s="514"/>
      <c r="C314" s="515"/>
      <c r="D314" s="468" t="s">
        <v>865</v>
      </c>
      <c r="E314" s="535">
        <v>4500</v>
      </c>
      <c r="F314" s="535">
        <v>1129</v>
      </c>
      <c r="G314" s="569">
        <v>465</v>
      </c>
      <c r="H314" s="535"/>
      <c r="I314" s="597"/>
      <c r="J314" s="535"/>
      <c r="K314" s="535">
        <f>SUM(E314:G314)</f>
        <v>6094</v>
      </c>
      <c r="L314" s="535"/>
      <c r="M314" s="535"/>
      <c r="N314" s="535"/>
      <c r="O314" s="569">
        <v>6094</v>
      </c>
      <c r="P314" s="507">
        <v>2</v>
      </c>
    </row>
    <row r="315" spans="1:16" s="24" customFormat="1" ht="12.75" customHeight="1" thickBot="1">
      <c r="A315" s="571"/>
      <c r="B315" s="543"/>
      <c r="C315" s="572"/>
      <c r="D315" s="573" t="s">
        <v>866</v>
      </c>
      <c r="E315" s="575">
        <v>4359</v>
      </c>
      <c r="F315" s="575">
        <v>1126</v>
      </c>
      <c r="G315" s="601">
        <f>126+39+40+58</f>
        <v>263</v>
      </c>
      <c r="H315" s="575"/>
      <c r="I315" s="600"/>
      <c r="J315" s="575"/>
      <c r="K315" s="575">
        <f>SUM(E315:J315)</f>
        <v>5748</v>
      </c>
      <c r="L315" s="575"/>
      <c r="M315" s="575"/>
      <c r="N315" s="575"/>
      <c r="O315" s="601">
        <f>SUM(K315:N315)</f>
        <v>5748</v>
      </c>
      <c r="P315" s="576">
        <v>2</v>
      </c>
    </row>
    <row r="316" spans="1:16" s="24" customFormat="1" ht="12.75" customHeight="1">
      <c r="A316" s="496" t="s">
        <v>601</v>
      </c>
      <c r="B316" s="503"/>
      <c r="C316" s="498"/>
      <c r="D316" s="505" t="s">
        <v>506</v>
      </c>
      <c r="E316" s="616"/>
      <c r="F316" s="616"/>
      <c r="G316" s="616"/>
      <c r="H316" s="616"/>
      <c r="I316" s="617"/>
      <c r="J316" s="616"/>
      <c r="K316" s="616"/>
      <c r="L316" s="616"/>
      <c r="M316" s="616"/>
      <c r="N316" s="616"/>
      <c r="O316" s="505"/>
      <c r="P316" s="506"/>
    </row>
    <row r="317" spans="1:16" s="24" customFormat="1" ht="12.75" customHeight="1">
      <c r="A317" s="496"/>
      <c r="B317" s="503"/>
      <c r="C317" s="498"/>
      <c r="D317" s="468" t="s">
        <v>864</v>
      </c>
      <c r="E317" s="616">
        <f>E321+E325+E329</f>
        <v>0</v>
      </c>
      <c r="F317" s="616">
        <f aca="true" t="shared" si="67" ref="F317:O317">F321+F325+F329</f>
        <v>0</v>
      </c>
      <c r="G317" s="616">
        <f t="shared" si="67"/>
        <v>3008</v>
      </c>
      <c r="H317" s="616">
        <f t="shared" si="67"/>
        <v>0</v>
      </c>
      <c r="I317" s="616">
        <f t="shared" si="67"/>
        <v>511</v>
      </c>
      <c r="J317" s="616">
        <f t="shared" si="67"/>
        <v>0</v>
      </c>
      <c r="K317" s="616">
        <f t="shared" si="67"/>
        <v>3519</v>
      </c>
      <c r="L317" s="616">
        <f t="shared" si="67"/>
        <v>0</v>
      </c>
      <c r="M317" s="616">
        <f t="shared" si="67"/>
        <v>0</v>
      </c>
      <c r="N317" s="616">
        <f t="shared" si="67"/>
        <v>0</v>
      </c>
      <c r="O317" s="616">
        <f t="shared" si="67"/>
        <v>3519</v>
      </c>
      <c r="P317" s="506"/>
    </row>
    <row r="318" spans="1:16" s="24" customFormat="1" ht="12.75" customHeight="1">
      <c r="A318" s="496"/>
      <c r="B318" s="503"/>
      <c r="C318" s="498"/>
      <c r="D318" s="468" t="s">
        <v>865</v>
      </c>
      <c r="E318" s="616">
        <f aca="true" t="shared" si="68" ref="E318:O319">E322+E326+E330</f>
        <v>70</v>
      </c>
      <c r="F318" s="616">
        <f t="shared" si="68"/>
        <v>20</v>
      </c>
      <c r="G318" s="616">
        <f t="shared" si="68"/>
        <v>3031</v>
      </c>
      <c r="H318" s="616">
        <f t="shared" si="68"/>
        <v>0</v>
      </c>
      <c r="I318" s="616">
        <f t="shared" si="68"/>
        <v>511</v>
      </c>
      <c r="J318" s="616">
        <f t="shared" si="68"/>
        <v>0</v>
      </c>
      <c r="K318" s="616">
        <f t="shared" si="68"/>
        <v>3632</v>
      </c>
      <c r="L318" s="616">
        <f t="shared" si="68"/>
        <v>0</v>
      </c>
      <c r="M318" s="616">
        <f t="shared" si="68"/>
        <v>0</v>
      </c>
      <c r="N318" s="616">
        <f t="shared" si="68"/>
        <v>0</v>
      </c>
      <c r="O318" s="616">
        <f t="shared" si="68"/>
        <v>3632</v>
      </c>
      <c r="P318" s="506"/>
    </row>
    <row r="319" spans="1:16" s="24" customFormat="1" ht="12.75" customHeight="1">
      <c r="A319" s="496"/>
      <c r="B319" s="503"/>
      <c r="C319" s="498"/>
      <c r="D319" s="468" t="s">
        <v>866</v>
      </c>
      <c r="E319" s="616">
        <f t="shared" si="68"/>
        <v>0</v>
      </c>
      <c r="F319" s="616">
        <f t="shared" si="68"/>
        <v>0</v>
      </c>
      <c r="G319" s="616">
        <f>G323+G327+G331</f>
        <v>1677</v>
      </c>
      <c r="H319" s="616">
        <f t="shared" si="68"/>
        <v>0</v>
      </c>
      <c r="I319" s="616">
        <f t="shared" si="68"/>
        <v>511</v>
      </c>
      <c r="J319" s="616">
        <f t="shared" si="68"/>
        <v>0</v>
      </c>
      <c r="K319" s="616">
        <f t="shared" si="68"/>
        <v>2188</v>
      </c>
      <c r="L319" s="616">
        <f t="shared" si="68"/>
        <v>0</v>
      </c>
      <c r="M319" s="616">
        <f t="shared" si="68"/>
        <v>0</v>
      </c>
      <c r="N319" s="616">
        <f t="shared" si="68"/>
        <v>0</v>
      </c>
      <c r="O319" s="616">
        <f t="shared" si="68"/>
        <v>2188</v>
      </c>
      <c r="P319" s="506"/>
    </row>
    <row r="320" spans="1:16" ht="11.25" customHeight="1">
      <c r="A320" s="513"/>
      <c r="B320" s="619" t="s">
        <v>316</v>
      </c>
      <c r="C320" s="515" t="s">
        <v>632</v>
      </c>
      <c r="D320" s="516" t="s">
        <v>818</v>
      </c>
      <c r="E320" s="501"/>
      <c r="F320" s="501"/>
      <c r="G320" s="516"/>
      <c r="H320" s="501"/>
      <c r="I320" s="515"/>
      <c r="J320" s="501"/>
      <c r="K320" s="535"/>
      <c r="L320" s="501"/>
      <c r="M320" s="501"/>
      <c r="N320" s="501"/>
      <c r="O320" s="569"/>
      <c r="P320" s="507"/>
    </row>
    <row r="321" spans="1:16" ht="11.25" customHeight="1">
      <c r="A321" s="513"/>
      <c r="B321" s="619"/>
      <c r="C321" s="498"/>
      <c r="D321" s="468" t="s">
        <v>864</v>
      </c>
      <c r="E321" s="501"/>
      <c r="F321" s="501"/>
      <c r="G321" s="516">
        <v>1500</v>
      </c>
      <c r="H321" s="501"/>
      <c r="I321" s="515"/>
      <c r="J321" s="501"/>
      <c r="K321" s="535">
        <f>SUM(E321:J321)</f>
        <v>1500</v>
      </c>
      <c r="L321" s="501"/>
      <c r="M321" s="501"/>
      <c r="N321" s="501"/>
      <c r="O321" s="569">
        <f>SUM(K321:N321)</f>
        <v>1500</v>
      </c>
      <c r="P321" s="507"/>
    </row>
    <row r="322" spans="1:16" ht="11.25" customHeight="1">
      <c r="A322" s="513"/>
      <c r="B322" s="619"/>
      <c r="C322" s="498"/>
      <c r="D322" s="468" t="s">
        <v>865</v>
      </c>
      <c r="E322" s="501"/>
      <c r="F322" s="501"/>
      <c r="G322" s="516">
        <v>1200</v>
      </c>
      <c r="H322" s="501"/>
      <c r="I322" s="515"/>
      <c r="J322" s="501"/>
      <c r="K322" s="535">
        <f aca="true" t="shared" si="69" ref="K322:K331">SUM(E322:J322)</f>
        <v>1200</v>
      </c>
      <c r="L322" s="501"/>
      <c r="M322" s="501"/>
      <c r="N322" s="501"/>
      <c r="O322" s="569">
        <f aca="true" t="shared" si="70" ref="O322:O331">SUM(K322:N322)</f>
        <v>1200</v>
      </c>
      <c r="P322" s="507"/>
    </row>
    <row r="323" spans="1:16" ht="11.25" customHeight="1">
      <c r="A323" s="513"/>
      <c r="B323" s="619"/>
      <c r="C323" s="498"/>
      <c r="D323" s="468" t="s">
        <v>866</v>
      </c>
      <c r="E323" s="501"/>
      <c r="F323" s="501"/>
      <c r="G323" s="516">
        <v>789</v>
      </c>
      <c r="H323" s="501"/>
      <c r="I323" s="515"/>
      <c r="J323" s="501"/>
      <c r="K323" s="535">
        <f t="shared" si="69"/>
        <v>789</v>
      </c>
      <c r="L323" s="501"/>
      <c r="M323" s="501"/>
      <c r="N323" s="501"/>
      <c r="O323" s="569">
        <f t="shared" si="70"/>
        <v>789</v>
      </c>
      <c r="P323" s="507"/>
    </row>
    <row r="324" spans="1:16" ht="11.25" customHeight="1">
      <c r="A324" s="513"/>
      <c r="B324" s="514" t="s">
        <v>318</v>
      </c>
      <c r="C324" s="498" t="s">
        <v>632</v>
      </c>
      <c r="D324" s="499" t="s">
        <v>507</v>
      </c>
      <c r="E324" s="501"/>
      <c r="F324" s="501"/>
      <c r="G324" s="516"/>
      <c r="H324" s="501"/>
      <c r="I324" s="515"/>
      <c r="J324" s="501"/>
      <c r="K324" s="535"/>
      <c r="L324" s="501"/>
      <c r="M324" s="501"/>
      <c r="N324" s="501"/>
      <c r="O324" s="569"/>
      <c r="P324" s="507"/>
    </row>
    <row r="325" spans="1:16" ht="11.25" customHeight="1">
      <c r="A325" s="513"/>
      <c r="B325" s="514"/>
      <c r="C325" s="498"/>
      <c r="D325" s="468" t="s">
        <v>864</v>
      </c>
      <c r="E325" s="501"/>
      <c r="F325" s="501"/>
      <c r="G325" s="516">
        <v>280</v>
      </c>
      <c r="H325" s="501"/>
      <c r="I325" s="515">
        <v>511</v>
      </c>
      <c r="J325" s="501"/>
      <c r="K325" s="535">
        <f t="shared" si="69"/>
        <v>791</v>
      </c>
      <c r="L325" s="501"/>
      <c r="M325" s="501"/>
      <c r="N325" s="501"/>
      <c r="O325" s="569">
        <f t="shared" si="70"/>
        <v>791</v>
      </c>
      <c r="P325" s="507"/>
    </row>
    <row r="326" spans="1:16" ht="11.25" customHeight="1">
      <c r="A326" s="513"/>
      <c r="B326" s="514"/>
      <c r="C326" s="498"/>
      <c r="D326" s="468" t="s">
        <v>865</v>
      </c>
      <c r="E326" s="501"/>
      <c r="F326" s="501"/>
      <c r="G326" s="516">
        <v>324</v>
      </c>
      <c r="H326" s="501"/>
      <c r="I326" s="515">
        <v>511</v>
      </c>
      <c r="J326" s="501"/>
      <c r="K326" s="535">
        <f t="shared" si="69"/>
        <v>835</v>
      </c>
      <c r="L326" s="501"/>
      <c r="M326" s="501"/>
      <c r="N326" s="501"/>
      <c r="O326" s="569">
        <f t="shared" si="70"/>
        <v>835</v>
      </c>
      <c r="P326" s="507"/>
    </row>
    <row r="327" spans="1:16" ht="11.25" customHeight="1">
      <c r="A327" s="513"/>
      <c r="B327" s="514"/>
      <c r="C327" s="498"/>
      <c r="D327" s="468" t="s">
        <v>866</v>
      </c>
      <c r="E327" s="501"/>
      <c r="F327" s="501"/>
      <c r="G327" s="516">
        <f>52+13+74</f>
        <v>139</v>
      </c>
      <c r="H327" s="501"/>
      <c r="I327" s="515">
        <v>511</v>
      </c>
      <c r="J327" s="501"/>
      <c r="K327" s="535">
        <f>SUM(E327:J327)</f>
        <v>650</v>
      </c>
      <c r="L327" s="501"/>
      <c r="M327" s="501"/>
      <c r="N327" s="501"/>
      <c r="O327" s="569">
        <f t="shared" si="70"/>
        <v>650</v>
      </c>
      <c r="P327" s="507"/>
    </row>
    <row r="328" spans="1:16" ht="11.25" customHeight="1">
      <c r="A328" s="513"/>
      <c r="B328" s="514" t="s">
        <v>319</v>
      </c>
      <c r="C328" s="515" t="s">
        <v>631</v>
      </c>
      <c r="D328" s="559" t="s">
        <v>508</v>
      </c>
      <c r="E328" s="501"/>
      <c r="F328" s="501"/>
      <c r="G328" s="516"/>
      <c r="H328" s="560"/>
      <c r="I328" s="515"/>
      <c r="J328" s="560"/>
      <c r="K328" s="535"/>
      <c r="L328" s="501"/>
      <c r="M328" s="501"/>
      <c r="N328" s="501"/>
      <c r="O328" s="569"/>
      <c r="P328" s="507"/>
    </row>
    <row r="329" spans="1:16" ht="11.25" customHeight="1">
      <c r="A329" s="550"/>
      <c r="B329" s="508"/>
      <c r="C329" s="509"/>
      <c r="D329" s="426" t="s">
        <v>864</v>
      </c>
      <c r="E329" s="510"/>
      <c r="F329" s="510"/>
      <c r="G329" s="511">
        <v>1228</v>
      </c>
      <c r="H329" s="563"/>
      <c r="I329" s="509"/>
      <c r="J329" s="563"/>
      <c r="K329" s="535">
        <f t="shared" si="69"/>
        <v>1228</v>
      </c>
      <c r="L329" s="510"/>
      <c r="M329" s="510"/>
      <c r="N329" s="510"/>
      <c r="O329" s="569">
        <f t="shared" si="70"/>
        <v>1228</v>
      </c>
      <c r="P329" s="512"/>
    </row>
    <row r="330" spans="1:16" ht="11.25" customHeight="1">
      <c r="A330" s="513"/>
      <c r="B330" s="514"/>
      <c r="C330" s="515"/>
      <c r="D330" s="468" t="s">
        <v>865</v>
      </c>
      <c r="E330" s="501">
        <v>70</v>
      </c>
      <c r="F330" s="501">
        <v>20</v>
      </c>
      <c r="G330" s="516">
        <v>1507</v>
      </c>
      <c r="H330" s="560"/>
      <c r="I330" s="515"/>
      <c r="J330" s="560"/>
      <c r="K330" s="535">
        <f t="shared" si="69"/>
        <v>1597</v>
      </c>
      <c r="L330" s="501"/>
      <c r="M330" s="501"/>
      <c r="N330" s="501"/>
      <c r="O330" s="569">
        <f t="shared" si="70"/>
        <v>1597</v>
      </c>
      <c r="P330" s="507"/>
    </row>
    <row r="331" spans="1:16" ht="11.25" customHeight="1" thickBot="1">
      <c r="A331" s="550"/>
      <c r="B331" s="508"/>
      <c r="C331" s="509"/>
      <c r="D331" s="461" t="s">
        <v>866</v>
      </c>
      <c r="E331" s="510"/>
      <c r="F331" s="510"/>
      <c r="G331" s="511">
        <v>749</v>
      </c>
      <c r="H331" s="563"/>
      <c r="I331" s="509"/>
      <c r="J331" s="563"/>
      <c r="K331" s="535">
        <f t="shared" si="69"/>
        <v>749</v>
      </c>
      <c r="L331" s="510"/>
      <c r="M331" s="510"/>
      <c r="N331" s="510"/>
      <c r="O331" s="569">
        <f t="shared" si="70"/>
        <v>749</v>
      </c>
      <c r="P331" s="512"/>
    </row>
    <row r="332" spans="1:16" s="24" customFormat="1" ht="12.75" customHeight="1">
      <c r="A332" s="564" t="s">
        <v>602</v>
      </c>
      <c r="B332" s="565" t="s">
        <v>316</v>
      </c>
      <c r="C332" s="566" t="s">
        <v>631</v>
      </c>
      <c r="D332" s="567" t="s">
        <v>509</v>
      </c>
      <c r="E332" s="530"/>
      <c r="F332" s="530"/>
      <c r="G332" s="567"/>
      <c r="H332" s="530"/>
      <c r="I332" s="568"/>
      <c r="J332" s="530"/>
      <c r="K332" s="530"/>
      <c r="L332" s="530"/>
      <c r="M332" s="530"/>
      <c r="N332" s="530"/>
      <c r="O332" s="567"/>
      <c r="P332" s="531"/>
    </row>
    <row r="333" spans="1:16" s="24" customFormat="1" ht="12.75" customHeight="1">
      <c r="A333" s="513"/>
      <c r="B333" s="514"/>
      <c r="C333" s="515"/>
      <c r="D333" s="468" t="s">
        <v>864</v>
      </c>
      <c r="E333" s="535"/>
      <c r="F333" s="535"/>
      <c r="G333" s="569">
        <v>6300</v>
      </c>
      <c r="H333" s="535"/>
      <c r="I333" s="597"/>
      <c r="J333" s="535"/>
      <c r="K333" s="535">
        <v>6300</v>
      </c>
      <c r="L333" s="535"/>
      <c r="M333" s="535"/>
      <c r="N333" s="535"/>
      <c r="O333" s="569">
        <v>6300</v>
      </c>
      <c r="P333" s="507"/>
    </row>
    <row r="334" spans="1:16" s="24" customFormat="1" ht="12.75" customHeight="1">
      <c r="A334" s="513"/>
      <c r="B334" s="514"/>
      <c r="C334" s="515"/>
      <c r="D334" s="468" t="s">
        <v>865</v>
      </c>
      <c r="E334" s="535"/>
      <c r="F334" s="535"/>
      <c r="G334" s="569">
        <v>5366</v>
      </c>
      <c r="H334" s="535"/>
      <c r="I334" s="597"/>
      <c r="J334" s="535"/>
      <c r="K334" s="535">
        <v>5366</v>
      </c>
      <c r="L334" s="535"/>
      <c r="M334" s="535"/>
      <c r="N334" s="535"/>
      <c r="O334" s="569">
        <v>5366</v>
      </c>
      <c r="P334" s="507"/>
    </row>
    <row r="335" spans="1:16" s="24" customFormat="1" ht="12.75" customHeight="1" thickBot="1">
      <c r="A335" s="571"/>
      <c r="B335" s="543"/>
      <c r="C335" s="572"/>
      <c r="D335" s="573" t="s">
        <v>866</v>
      </c>
      <c r="E335" s="575"/>
      <c r="F335" s="575"/>
      <c r="G335" s="601">
        <v>2746</v>
      </c>
      <c r="H335" s="575"/>
      <c r="I335" s="600"/>
      <c r="J335" s="575"/>
      <c r="K335" s="575">
        <f>SUM(E335:I335)</f>
        <v>2746</v>
      </c>
      <c r="L335" s="575"/>
      <c r="M335" s="575"/>
      <c r="N335" s="575"/>
      <c r="O335" s="601">
        <f>SUM(K335:M335)</f>
        <v>2746</v>
      </c>
      <c r="P335" s="576"/>
    </row>
    <row r="336" spans="1:16" ht="12.75" customHeight="1">
      <c r="A336" s="550" t="s">
        <v>603</v>
      </c>
      <c r="B336" s="508"/>
      <c r="C336" s="509"/>
      <c r="D336" s="522" t="s">
        <v>560</v>
      </c>
      <c r="E336" s="537"/>
      <c r="F336" s="537"/>
      <c r="G336" s="537"/>
      <c r="H336" s="537"/>
      <c r="I336" s="537"/>
      <c r="J336" s="537"/>
      <c r="K336" s="537"/>
      <c r="L336" s="537"/>
      <c r="M336" s="537"/>
      <c r="N336" s="537"/>
      <c r="O336" s="522"/>
      <c r="P336" s="512"/>
    </row>
    <row r="337" spans="1:16" ht="12.75" customHeight="1">
      <c r="A337" s="513"/>
      <c r="B337" s="514"/>
      <c r="C337" s="515"/>
      <c r="D337" s="468" t="s">
        <v>864</v>
      </c>
      <c r="E337" s="535">
        <f>E341+E345+E357+E361+E365+E369+E373+E377+E381</f>
        <v>800</v>
      </c>
      <c r="F337" s="535">
        <f aca="true" t="shared" si="71" ref="F337:O337">F341+F345+F357+F361+F365+F369+F373+F377+F381</f>
        <v>200</v>
      </c>
      <c r="G337" s="535">
        <f t="shared" si="71"/>
        <v>98114</v>
      </c>
      <c r="H337" s="535">
        <f t="shared" si="71"/>
        <v>0</v>
      </c>
      <c r="I337" s="535">
        <f t="shared" si="71"/>
        <v>0</v>
      </c>
      <c r="J337" s="535">
        <f t="shared" si="71"/>
        <v>360920</v>
      </c>
      <c r="K337" s="535">
        <f t="shared" si="71"/>
        <v>460034</v>
      </c>
      <c r="L337" s="535">
        <f t="shared" si="71"/>
        <v>0</v>
      </c>
      <c r="M337" s="535">
        <f t="shared" si="71"/>
        <v>5850</v>
      </c>
      <c r="N337" s="535">
        <f t="shared" si="71"/>
        <v>0</v>
      </c>
      <c r="O337" s="535">
        <f t="shared" si="71"/>
        <v>465884</v>
      </c>
      <c r="P337" s="507"/>
    </row>
    <row r="338" spans="1:16" ht="12.75" customHeight="1">
      <c r="A338" s="513"/>
      <c r="B338" s="514"/>
      <c r="C338" s="515"/>
      <c r="D338" s="468" t="s">
        <v>865</v>
      </c>
      <c r="E338" s="535">
        <f aca="true" t="shared" si="72" ref="E338:O339">E342+E346+E358+E362+E366+E370+E374+E378+E382</f>
        <v>864</v>
      </c>
      <c r="F338" s="535">
        <f t="shared" si="72"/>
        <v>161</v>
      </c>
      <c r="G338" s="535">
        <f t="shared" si="72"/>
        <v>97856</v>
      </c>
      <c r="H338" s="535">
        <f t="shared" si="72"/>
        <v>0</v>
      </c>
      <c r="I338" s="535">
        <f t="shared" si="72"/>
        <v>50</v>
      </c>
      <c r="J338" s="535">
        <f t="shared" si="72"/>
        <v>386449</v>
      </c>
      <c r="K338" s="535">
        <f t="shared" si="72"/>
        <v>485380</v>
      </c>
      <c r="L338" s="535">
        <f t="shared" si="72"/>
        <v>0</v>
      </c>
      <c r="M338" s="535">
        <f t="shared" si="72"/>
        <v>11114</v>
      </c>
      <c r="N338" s="535">
        <f t="shared" si="72"/>
        <v>0</v>
      </c>
      <c r="O338" s="535">
        <f t="shared" si="72"/>
        <v>496494</v>
      </c>
      <c r="P338" s="507"/>
    </row>
    <row r="339" spans="1:16" ht="12.75" customHeight="1">
      <c r="A339" s="513"/>
      <c r="B339" s="514"/>
      <c r="C339" s="515"/>
      <c r="D339" s="468" t="s">
        <v>866</v>
      </c>
      <c r="E339" s="535">
        <f t="shared" si="72"/>
        <v>0</v>
      </c>
      <c r="F339" s="535">
        <f t="shared" si="72"/>
        <v>0</v>
      </c>
      <c r="G339" s="535">
        <f>G343+G347+G359+G363+G367+G371+G375+G379+G383</f>
        <v>88252</v>
      </c>
      <c r="H339" s="535">
        <f t="shared" si="72"/>
        <v>0</v>
      </c>
      <c r="I339" s="535">
        <f t="shared" si="72"/>
        <v>50</v>
      </c>
      <c r="J339" s="535">
        <f>J343+J347+J359+J363+J367+J371+J375+J379+J383</f>
        <v>383553</v>
      </c>
      <c r="K339" s="535">
        <f t="shared" si="72"/>
        <v>471855</v>
      </c>
      <c r="L339" s="535">
        <f t="shared" si="72"/>
        <v>0</v>
      </c>
      <c r="M339" s="535">
        <f>M343+M347+M359+M363+M367+M371+M375+M379+M383</f>
        <v>7474</v>
      </c>
      <c r="N339" s="535">
        <f t="shared" si="72"/>
        <v>0</v>
      </c>
      <c r="O339" s="535">
        <f t="shared" si="72"/>
        <v>479329</v>
      </c>
      <c r="P339" s="507"/>
    </row>
    <row r="340" spans="1:16" ht="11.25" customHeight="1">
      <c r="A340" s="513"/>
      <c r="B340" s="514">
        <v>1</v>
      </c>
      <c r="C340" s="515" t="s">
        <v>632</v>
      </c>
      <c r="D340" s="559" t="s">
        <v>510</v>
      </c>
      <c r="E340" s="501"/>
      <c r="F340" s="501"/>
      <c r="G340" s="516"/>
      <c r="H340" s="501"/>
      <c r="I340" s="515"/>
      <c r="J340" s="501"/>
      <c r="K340" s="535"/>
      <c r="L340" s="501"/>
      <c r="M340" s="501"/>
      <c r="N340" s="501"/>
      <c r="O340" s="569"/>
      <c r="P340" s="507"/>
    </row>
    <row r="341" spans="1:16" ht="11.25" customHeight="1">
      <c r="A341" s="609"/>
      <c r="B341" s="514"/>
      <c r="C341" s="611"/>
      <c r="D341" s="468" t="s">
        <v>864</v>
      </c>
      <c r="E341" s="521">
        <v>800</v>
      </c>
      <c r="F341" s="521">
        <v>200</v>
      </c>
      <c r="G341" s="613">
        <v>1500</v>
      </c>
      <c r="H341" s="521"/>
      <c r="I341" s="611"/>
      <c r="J341" s="521"/>
      <c r="K341" s="535">
        <f>SUM(E341:J341)</f>
        <v>2500</v>
      </c>
      <c r="L341" s="521"/>
      <c r="M341" s="521"/>
      <c r="N341" s="521"/>
      <c r="O341" s="569">
        <f>SUM(K341:N341)</f>
        <v>2500</v>
      </c>
      <c r="P341" s="608"/>
    </row>
    <row r="342" spans="1:16" ht="11.25" customHeight="1">
      <c r="A342" s="609"/>
      <c r="B342" s="514"/>
      <c r="C342" s="611"/>
      <c r="D342" s="468" t="s">
        <v>865</v>
      </c>
      <c r="E342" s="521">
        <v>864</v>
      </c>
      <c r="F342" s="521">
        <v>161</v>
      </c>
      <c r="G342" s="613">
        <v>1242</v>
      </c>
      <c r="H342" s="521"/>
      <c r="I342" s="611"/>
      <c r="J342" s="521">
        <v>400</v>
      </c>
      <c r="K342" s="535">
        <f aca="true" t="shared" si="73" ref="K342:K383">SUM(E342:J342)</f>
        <v>2667</v>
      </c>
      <c r="L342" s="521"/>
      <c r="M342" s="521"/>
      <c r="N342" s="521"/>
      <c r="O342" s="569">
        <f aca="true" t="shared" si="74" ref="O342:O383">SUM(K342:N342)</f>
        <v>2667</v>
      </c>
      <c r="P342" s="608"/>
    </row>
    <row r="343" spans="1:16" ht="11.25" customHeight="1">
      <c r="A343" s="609"/>
      <c r="B343" s="514"/>
      <c r="C343" s="611"/>
      <c r="D343" s="468" t="s">
        <v>866</v>
      </c>
      <c r="E343" s="521"/>
      <c r="F343" s="521"/>
      <c r="G343" s="613">
        <v>68</v>
      </c>
      <c r="H343" s="521"/>
      <c r="I343" s="611"/>
      <c r="J343" s="521">
        <v>153</v>
      </c>
      <c r="K343" s="535">
        <f t="shared" si="73"/>
        <v>221</v>
      </c>
      <c r="L343" s="521"/>
      <c r="M343" s="521"/>
      <c r="N343" s="521"/>
      <c r="O343" s="569">
        <f t="shared" si="74"/>
        <v>221</v>
      </c>
      <c r="P343" s="608"/>
    </row>
    <row r="344" spans="1:16" ht="14.25" customHeight="1">
      <c r="A344" s="609"/>
      <c r="B344" s="514">
        <v>2</v>
      </c>
      <c r="C344" s="611"/>
      <c r="D344" s="1935" t="s">
        <v>561</v>
      </c>
      <c r="E344" s="1936"/>
      <c r="F344" s="1936"/>
      <c r="G344" s="1936"/>
      <c r="H344" s="1937"/>
      <c r="I344" s="521"/>
      <c r="J344" s="521"/>
      <c r="K344" s="535"/>
      <c r="L344" s="521"/>
      <c r="M344" s="521"/>
      <c r="N344" s="521"/>
      <c r="O344" s="569"/>
      <c r="P344" s="608"/>
    </row>
    <row r="345" spans="1:16" ht="11.25" customHeight="1">
      <c r="A345" s="609"/>
      <c r="B345" s="518"/>
      <c r="C345" s="611"/>
      <c r="D345" s="468" t="s">
        <v>864</v>
      </c>
      <c r="E345" s="521">
        <f>E349+E353</f>
        <v>0</v>
      </c>
      <c r="F345" s="521">
        <f aca="true" t="shared" si="75" ref="F345:N345">F349+F353</f>
        <v>0</v>
      </c>
      <c r="G345" s="521">
        <f t="shared" si="75"/>
        <v>0</v>
      </c>
      <c r="H345" s="521">
        <f t="shared" si="75"/>
        <v>0</v>
      </c>
      <c r="I345" s="521">
        <f t="shared" si="75"/>
        <v>0</v>
      </c>
      <c r="J345" s="521">
        <f t="shared" si="75"/>
        <v>357465</v>
      </c>
      <c r="K345" s="535">
        <f t="shared" si="73"/>
        <v>357465</v>
      </c>
      <c r="L345" s="521">
        <f t="shared" si="75"/>
        <v>0</v>
      </c>
      <c r="M345" s="521">
        <f t="shared" si="75"/>
        <v>3850</v>
      </c>
      <c r="N345" s="521">
        <f t="shared" si="75"/>
        <v>0</v>
      </c>
      <c r="O345" s="569">
        <f t="shared" si="74"/>
        <v>361315</v>
      </c>
      <c r="P345" s="608"/>
    </row>
    <row r="346" spans="1:16" ht="11.25" customHeight="1">
      <c r="A346" s="609"/>
      <c r="B346" s="518"/>
      <c r="C346" s="611"/>
      <c r="D346" s="468" t="s">
        <v>865</v>
      </c>
      <c r="E346" s="521">
        <f aca="true" t="shared" si="76" ref="E346:N347">E350+E354</f>
        <v>0</v>
      </c>
      <c r="F346" s="521">
        <f t="shared" si="76"/>
        <v>0</v>
      </c>
      <c r="G346" s="521">
        <f t="shared" si="76"/>
        <v>0</v>
      </c>
      <c r="H346" s="521">
        <f t="shared" si="76"/>
        <v>0</v>
      </c>
      <c r="I346" s="521">
        <f t="shared" si="76"/>
        <v>0</v>
      </c>
      <c r="J346" s="521">
        <f t="shared" si="76"/>
        <v>382246</v>
      </c>
      <c r="K346" s="535">
        <f t="shared" si="73"/>
        <v>382246</v>
      </c>
      <c r="L346" s="521">
        <f t="shared" si="76"/>
        <v>0</v>
      </c>
      <c r="M346" s="521">
        <f t="shared" si="76"/>
        <v>3875</v>
      </c>
      <c r="N346" s="521">
        <f t="shared" si="76"/>
        <v>0</v>
      </c>
      <c r="O346" s="569">
        <f t="shared" si="74"/>
        <v>386121</v>
      </c>
      <c r="P346" s="608"/>
    </row>
    <row r="347" spans="1:16" ht="11.25" customHeight="1">
      <c r="A347" s="609"/>
      <c r="B347" s="518"/>
      <c r="C347" s="611"/>
      <c r="D347" s="468" t="s">
        <v>866</v>
      </c>
      <c r="E347" s="521">
        <f t="shared" si="76"/>
        <v>0</v>
      </c>
      <c r="F347" s="521">
        <f t="shared" si="76"/>
        <v>0</v>
      </c>
      <c r="G347" s="521">
        <f t="shared" si="76"/>
        <v>0</v>
      </c>
      <c r="H347" s="521">
        <f t="shared" si="76"/>
        <v>0</v>
      </c>
      <c r="I347" s="521">
        <f t="shared" si="76"/>
        <v>0</v>
      </c>
      <c r="J347" s="521">
        <v>381599</v>
      </c>
      <c r="K347" s="535">
        <f t="shared" si="73"/>
        <v>381599</v>
      </c>
      <c r="L347" s="521">
        <f t="shared" si="76"/>
        <v>0</v>
      </c>
      <c r="M347" s="521">
        <f>M351+M355</f>
        <v>2235</v>
      </c>
      <c r="N347" s="521">
        <f t="shared" si="76"/>
        <v>0</v>
      </c>
      <c r="O347" s="569">
        <f t="shared" si="74"/>
        <v>383834</v>
      </c>
      <c r="P347" s="608"/>
    </row>
    <row r="348" spans="1:16" s="56" customFormat="1" ht="11.25" customHeight="1">
      <c r="A348" s="609"/>
      <c r="B348" s="518"/>
      <c r="C348" s="611" t="s">
        <v>631</v>
      </c>
      <c r="D348" s="690" t="s">
        <v>889</v>
      </c>
      <c r="E348" s="521"/>
      <c r="F348" s="521"/>
      <c r="G348" s="613"/>
      <c r="H348" s="521"/>
      <c r="I348" s="611"/>
      <c r="J348" s="521"/>
      <c r="K348" s="535"/>
      <c r="L348" s="521"/>
      <c r="M348" s="521"/>
      <c r="N348" s="521"/>
      <c r="O348" s="569"/>
      <c r="P348" s="633"/>
    </row>
    <row r="349" spans="1:16" s="56" customFormat="1" ht="11.25" customHeight="1">
      <c r="A349" s="609"/>
      <c r="B349" s="518"/>
      <c r="C349" s="611"/>
      <c r="D349" s="468" t="s">
        <v>864</v>
      </c>
      <c r="E349" s="521"/>
      <c r="F349" s="521"/>
      <c r="G349" s="613"/>
      <c r="H349" s="521"/>
      <c r="I349" s="611"/>
      <c r="J349" s="521">
        <v>267392</v>
      </c>
      <c r="K349" s="535">
        <f t="shared" si="73"/>
        <v>267392</v>
      </c>
      <c r="L349" s="521"/>
      <c r="M349" s="521">
        <v>3850</v>
      </c>
      <c r="N349" s="521"/>
      <c r="O349" s="569">
        <f t="shared" si="74"/>
        <v>271242</v>
      </c>
      <c r="P349" s="633"/>
    </row>
    <row r="350" spans="1:16" s="56" customFormat="1" ht="11.25" customHeight="1">
      <c r="A350" s="609"/>
      <c r="B350" s="518"/>
      <c r="C350" s="611"/>
      <c r="D350" s="468" t="s">
        <v>865</v>
      </c>
      <c r="E350" s="521"/>
      <c r="F350" s="521"/>
      <c r="G350" s="613"/>
      <c r="H350" s="521"/>
      <c r="I350" s="611"/>
      <c r="J350" s="521">
        <v>268801</v>
      </c>
      <c r="K350" s="535">
        <f t="shared" si="73"/>
        <v>268801</v>
      </c>
      <c r="L350" s="521"/>
      <c r="M350" s="521">
        <v>3875</v>
      </c>
      <c r="N350" s="521"/>
      <c r="O350" s="569">
        <f t="shared" si="74"/>
        <v>272676</v>
      </c>
      <c r="P350" s="633"/>
    </row>
    <row r="351" spans="1:16" s="56" customFormat="1" ht="11.25" customHeight="1">
      <c r="A351" s="609"/>
      <c r="B351" s="518"/>
      <c r="C351" s="611"/>
      <c r="D351" s="468" t="s">
        <v>866</v>
      </c>
      <c r="E351" s="521"/>
      <c r="F351" s="521"/>
      <c r="G351" s="613"/>
      <c r="H351" s="521"/>
      <c r="I351" s="611"/>
      <c r="J351" s="521">
        <f>J347-J355</f>
        <v>268264</v>
      </c>
      <c r="K351" s="535">
        <f t="shared" si="73"/>
        <v>268264</v>
      </c>
      <c r="L351" s="521"/>
      <c r="M351" s="521">
        <v>2235</v>
      </c>
      <c r="N351" s="521"/>
      <c r="O351" s="569">
        <f t="shared" si="74"/>
        <v>270499</v>
      </c>
      <c r="P351" s="633"/>
    </row>
    <row r="352" spans="1:16" s="56" customFormat="1" ht="11.25" customHeight="1">
      <c r="A352" s="609"/>
      <c r="B352" s="518"/>
      <c r="C352" s="611" t="s">
        <v>632</v>
      </c>
      <c r="D352" s="504" t="s">
        <v>873</v>
      </c>
      <c r="E352" s="521"/>
      <c r="F352" s="521"/>
      <c r="G352" s="613"/>
      <c r="H352" s="521"/>
      <c r="I352" s="611"/>
      <c r="J352" s="521"/>
      <c r="K352" s="535"/>
      <c r="L352" s="521"/>
      <c r="M352" s="521"/>
      <c r="N352" s="521"/>
      <c r="O352" s="569"/>
      <c r="P352" s="633"/>
    </row>
    <row r="353" spans="1:16" s="56" customFormat="1" ht="11.25" customHeight="1">
      <c r="A353" s="609"/>
      <c r="B353" s="518"/>
      <c r="C353" s="611"/>
      <c r="D353" s="468" t="s">
        <v>864</v>
      </c>
      <c r="E353" s="521"/>
      <c r="F353" s="521"/>
      <c r="G353" s="613"/>
      <c r="H353" s="521"/>
      <c r="I353" s="611"/>
      <c r="J353" s="521">
        <v>90073</v>
      </c>
      <c r="K353" s="535">
        <f t="shared" si="73"/>
        <v>90073</v>
      </c>
      <c r="L353" s="521"/>
      <c r="M353" s="521"/>
      <c r="N353" s="521"/>
      <c r="O353" s="569">
        <f t="shared" si="74"/>
        <v>90073</v>
      </c>
      <c r="P353" s="633"/>
    </row>
    <row r="354" spans="1:16" s="56" customFormat="1" ht="11.25" customHeight="1">
      <c r="A354" s="609"/>
      <c r="B354" s="518"/>
      <c r="C354" s="611"/>
      <c r="D354" s="468" t="s">
        <v>865</v>
      </c>
      <c r="E354" s="521"/>
      <c r="F354" s="521"/>
      <c r="G354" s="613"/>
      <c r="H354" s="521"/>
      <c r="I354" s="611"/>
      <c r="J354" s="521">
        <v>113445</v>
      </c>
      <c r="K354" s="535">
        <f t="shared" si="73"/>
        <v>113445</v>
      </c>
      <c r="L354" s="521"/>
      <c r="M354" s="521"/>
      <c r="N354" s="521"/>
      <c r="O354" s="569">
        <f t="shared" si="74"/>
        <v>113445</v>
      </c>
      <c r="P354" s="633"/>
    </row>
    <row r="355" spans="1:16" s="56" customFormat="1" ht="11.25" customHeight="1">
      <c r="A355" s="513"/>
      <c r="B355" s="514"/>
      <c r="C355" s="515"/>
      <c r="D355" s="468" t="s">
        <v>866</v>
      </c>
      <c r="E355" s="501"/>
      <c r="F355" s="501"/>
      <c r="G355" s="516"/>
      <c r="H355" s="501"/>
      <c r="I355" s="515"/>
      <c r="J355" s="501">
        <v>113335</v>
      </c>
      <c r="K355" s="535">
        <f t="shared" si="73"/>
        <v>113335</v>
      </c>
      <c r="L355" s="501"/>
      <c r="M355" s="501"/>
      <c r="N355" s="501"/>
      <c r="O355" s="569">
        <f t="shared" si="74"/>
        <v>113335</v>
      </c>
      <c r="P355" s="570"/>
    </row>
    <row r="356" spans="1:16" ht="11.25" customHeight="1">
      <c r="A356" s="513"/>
      <c r="B356" s="514">
        <v>3</v>
      </c>
      <c r="C356" s="515" t="s">
        <v>632</v>
      </c>
      <c r="D356" s="559" t="s">
        <v>702</v>
      </c>
      <c r="E356" s="501"/>
      <c r="F356" s="501"/>
      <c r="G356" s="516"/>
      <c r="H356" s="501"/>
      <c r="I356" s="515"/>
      <c r="J356" s="501"/>
      <c r="K356" s="535"/>
      <c r="L356" s="501"/>
      <c r="M356" s="501"/>
      <c r="N356" s="501"/>
      <c r="O356" s="569"/>
      <c r="P356" s="507"/>
    </row>
    <row r="357" spans="1:16" ht="11.25" customHeight="1">
      <c r="A357" s="609"/>
      <c r="B357" s="518"/>
      <c r="C357" s="611"/>
      <c r="D357" s="468" t="s">
        <v>864</v>
      </c>
      <c r="E357" s="521"/>
      <c r="F357" s="521"/>
      <c r="G357" s="613"/>
      <c r="H357" s="521"/>
      <c r="I357" s="611"/>
      <c r="J357" s="521">
        <v>792</v>
      </c>
      <c r="K357" s="535">
        <f t="shared" si="73"/>
        <v>792</v>
      </c>
      <c r="L357" s="521"/>
      <c r="M357" s="521"/>
      <c r="N357" s="521"/>
      <c r="O357" s="569">
        <f t="shared" si="74"/>
        <v>792</v>
      </c>
      <c r="P357" s="608"/>
    </row>
    <row r="358" spans="1:16" ht="11.25" customHeight="1">
      <c r="A358" s="609"/>
      <c r="B358" s="518"/>
      <c r="C358" s="611"/>
      <c r="D358" s="468" t="s">
        <v>865</v>
      </c>
      <c r="E358" s="521"/>
      <c r="F358" s="521"/>
      <c r="G358" s="613"/>
      <c r="H358" s="521"/>
      <c r="I358" s="611"/>
      <c r="J358" s="521">
        <v>545</v>
      </c>
      <c r="K358" s="535">
        <f t="shared" si="73"/>
        <v>545</v>
      </c>
      <c r="L358" s="521"/>
      <c r="M358" s="521"/>
      <c r="N358" s="521"/>
      <c r="O358" s="569">
        <f t="shared" si="74"/>
        <v>545</v>
      </c>
      <c r="P358" s="608"/>
    </row>
    <row r="359" spans="1:16" ht="11.25" customHeight="1">
      <c r="A359" s="513"/>
      <c r="B359" s="514"/>
      <c r="C359" s="515"/>
      <c r="D359" s="468" t="s">
        <v>866</v>
      </c>
      <c r="E359" s="501"/>
      <c r="F359" s="501"/>
      <c r="G359" s="516"/>
      <c r="H359" s="501"/>
      <c r="I359" s="515"/>
      <c r="J359" s="501">
        <v>544</v>
      </c>
      <c r="K359" s="535">
        <f t="shared" si="73"/>
        <v>544</v>
      </c>
      <c r="L359" s="501"/>
      <c r="M359" s="501"/>
      <c r="N359" s="501"/>
      <c r="O359" s="569">
        <f t="shared" si="74"/>
        <v>544</v>
      </c>
      <c r="P359" s="507"/>
    </row>
    <row r="360" spans="1:16" ht="11.25" customHeight="1">
      <c r="A360" s="513"/>
      <c r="B360" s="514">
        <v>4</v>
      </c>
      <c r="C360" s="515" t="s">
        <v>632</v>
      </c>
      <c r="D360" s="559" t="s">
        <v>562</v>
      </c>
      <c r="E360" s="560"/>
      <c r="F360" s="560"/>
      <c r="G360" s="634"/>
      <c r="H360" s="560"/>
      <c r="I360" s="515"/>
      <c r="J360" s="501"/>
      <c r="K360" s="535"/>
      <c r="L360" s="501"/>
      <c r="M360" s="501"/>
      <c r="N360" s="501"/>
      <c r="O360" s="569"/>
      <c r="P360" s="507"/>
    </row>
    <row r="361" spans="1:16" ht="11.25" customHeight="1">
      <c r="A361" s="513"/>
      <c r="B361" s="514"/>
      <c r="C361" s="515"/>
      <c r="D361" s="468" t="s">
        <v>864</v>
      </c>
      <c r="E361" s="560"/>
      <c r="F361" s="560"/>
      <c r="G361" s="634"/>
      <c r="H361" s="560"/>
      <c r="I361" s="515"/>
      <c r="J361" s="501">
        <v>2000</v>
      </c>
      <c r="K361" s="535">
        <f t="shared" si="73"/>
        <v>2000</v>
      </c>
      <c r="L361" s="501"/>
      <c r="M361" s="501">
        <v>2000</v>
      </c>
      <c r="N361" s="501"/>
      <c r="O361" s="569">
        <f t="shared" si="74"/>
        <v>4000</v>
      </c>
      <c r="P361" s="507"/>
    </row>
    <row r="362" spans="1:16" ht="11.25" customHeight="1">
      <c r="A362" s="513"/>
      <c r="B362" s="514"/>
      <c r="C362" s="515"/>
      <c r="D362" s="468" t="s">
        <v>865</v>
      </c>
      <c r="E362" s="560"/>
      <c r="F362" s="560"/>
      <c r="G362" s="634"/>
      <c r="H362" s="560"/>
      <c r="I362" s="515"/>
      <c r="J362" s="501">
        <v>2000</v>
      </c>
      <c r="K362" s="535">
        <f t="shared" si="73"/>
        <v>2000</v>
      </c>
      <c r="L362" s="501"/>
      <c r="M362" s="501">
        <v>2000</v>
      </c>
      <c r="N362" s="501"/>
      <c r="O362" s="569">
        <f t="shared" si="74"/>
        <v>4000</v>
      </c>
      <c r="P362" s="507"/>
    </row>
    <row r="363" spans="1:16" ht="11.25" customHeight="1">
      <c r="A363" s="513"/>
      <c r="B363" s="514"/>
      <c r="C363" s="515"/>
      <c r="D363" s="468" t="s">
        <v>866</v>
      </c>
      <c r="E363" s="560"/>
      <c r="F363" s="560"/>
      <c r="G363" s="634"/>
      <c r="H363" s="560"/>
      <c r="I363" s="515"/>
      <c r="J363" s="501">
        <v>0</v>
      </c>
      <c r="K363" s="535">
        <f t="shared" si="73"/>
        <v>0</v>
      </c>
      <c r="L363" s="501"/>
      <c r="M363" s="501">
        <v>0</v>
      </c>
      <c r="N363" s="501"/>
      <c r="O363" s="569">
        <f t="shared" si="74"/>
        <v>0</v>
      </c>
      <c r="P363" s="507"/>
    </row>
    <row r="364" spans="1:16" ht="11.25" customHeight="1">
      <c r="A364" s="513"/>
      <c r="B364" s="514">
        <v>5</v>
      </c>
      <c r="C364" s="515" t="s">
        <v>632</v>
      </c>
      <c r="D364" s="559" t="s">
        <v>563</v>
      </c>
      <c r="E364" s="560"/>
      <c r="F364" s="560"/>
      <c r="G364" s="634"/>
      <c r="H364" s="560"/>
      <c r="I364" s="515"/>
      <c r="J364" s="501"/>
      <c r="K364" s="535"/>
      <c r="L364" s="501"/>
      <c r="M364" s="501"/>
      <c r="N364" s="501"/>
      <c r="O364" s="569"/>
      <c r="P364" s="507"/>
    </row>
    <row r="365" spans="1:16" ht="11.25" customHeight="1">
      <c r="A365" s="609"/>
      <c r="B365" s="514"/>
      <c r="C365" s="515"/>
      <c r="D365" s="468" t="s">
        <v>864</v>
      </c>
      <c r="E365" s="612"/>
      <c r="F365" s="612"/>
      <c r="G365" s="635"/>
      <c r="H365" s="612"/>
      <c r="I365" s="611"/>
      <c r="J365" s="521">
        <v>663</v>
      </c>
      <c r="K365" s="535">
        <f t="shared" si="73"/>
        <v>663</v>
      </c>
      <c r="L365" s="521"/>
      <c r="M365" s="521"/>
      <c r="N365" s="521"/>
      <c r="O365" s="569">
        <f t="shared" si="74"/>
        <v>663</v>
      </c>
      <c r="P365" s="608"/>
    </row>
    <row r="366" spans="1:16" ht="11.25" customHeight="1">
      <c r="A366" s="609"/>
      <c r="B366" s="514"/>
      <c r="C366" s="515"/>
      <c r="D366" s="468" t="s">
        <v>865</v>
      </c>
      <c r="E366" s="612"/>
      <c r="F366" s="612"/>
      <c r="G366" s="635"/>
      <c r="H366" s="612"/>
      <c r="I366" s="611"/>
      <c r="J366" s="521">
        <v>663</v>
      </c>
      <c r="K366" s="535">
        <f t="shared" si="73"/>
        <v>663</v>
      </c>
      <c r="L366" s="521"/>
      <c r="M366" s="521"/>
      <c r="N366" s="521"/>
      <c r="O366" s="569">
        <f t="shared" si="74"/>
        <v>663</v>
      </c>
      <c r="P366" s="608"/>
    </row>
    <row r="367" spans="1:16" ht="11.25" customHeight="1">
      <c r="A367" s="609"/>
      <c r="B367" s="514"/>
      <c r="C367" s="515"/>
      <c r="D367" s="468" t="s">
        <v>866</v>
      </c>
      <c r="E367" s="612"/>
      <c r="F367" s="612"/>
      <c r="G367" s="635"/>
      <c r="H367" s="612"/>
      <c r="I367" s="611"/>
      <c r="J367" s="521">
        <v>663</v>
      </c>
      <c r="K367" s="535">
        <f t="shared" si="73"/>
        <v>663</v>
      </c>
      <c r="L367" s="521"/>
      <c r="M367" s="521"/>
      <c r="N367" s="521"/>
      <c r="O367" s="569">
        <f t="shared" si="74"/>
        <v>663</v>
      </c>
      <c r="P367" s="608"/>
    </row>
    <row r="368" spans="1:16" ht="11.25" customHeight="1">
      <c r="A368" s="609"/>
      <c r="B368" s="514">
        <v>6</v>
      </c>
      <c r="C368" s="515" t="s">
        <v>632</v>
      </c>
      <c r="D368" s="516" t="s">
        <v>565</v>
      </c>
      <c r="E368" s="521"/>
      <c r="F368" s="521"/>
      <c r="G368" s="613"/>
      <c r="H368" s="521"/>
      <c r="I368" s="611"/>
      <c r="J368" s="521"/>
      <c r="K368" s="535"/>
      <c r="L368" s="521"/>
      <c r="M368" s="521"/>
      <c r="N368" s="521"/>
      <c r="O368" s="569"/>
      <c r="P368" s="608"/>
    </row>
    <row r="369" spans="1:16" ht="11.25" customHeight="1">
      <c r="A369" s="609"/>
      <c r="B369" s="518"/>
      <c r="C369" s="611"/>
      <c r="D369" s="468" t="s">
        <v>864</v>
      </c>
      <c r="E369" s="521"/>
      <c r="F369" s="521"/>
      <c r="G369" s="613">
        <v>28557</v>
      </c>
      <c r="H369" s="521"/>
      <c r="I369" s="611"/>
      <c r="J369" s="521"/>
      <c r="K369" s="535">
        <f t="shared" si="73"/>
        <v>28557</v>
      </c>
      <c r="L369" s="521"/>
      <c r="M369" s="521"/>
      <c r="N369" s="521"/>
      <c r="O369" s="569">
        <f t="shared" si="74"/>
        <v>28557</v>
      </c>
      <c r="P369" s="608"/>
    </row>
    <row r="370" spans="1:16" ht="11.25" customHeight="1">
      <c r="A370" s="609"/>
      <c r="B370" s="518"/>
      <c r="C370" s="611"/>
      <c r="D370" s="468" t="s">
        <v>865</v>
      </c>
      <c r="E370" s="521"/>
      <c r="F370" s="521"/>
      <c r="G370" s="613">
        <v>28557</v>
      </c>
      <c r="H370" s="521"/>
      <c r="I370" s="611"/>
      <c r="J370" s="521"/>
      <c r="K370" s="535">
        <f t="shared" si="73"/>
        <v>28557</v>
      </c>
      <c r="L370" s="521"/>
      <c r="M370" s="521"/>
      <c r="N370" s="521"/>
      <c r="O370" s="569">
        <f t="shared" si="74"/>
        <v>28557</v>
      </c>
      <c r="P370" s="608"/>
    </row>
    <row r="371" spans="1:16" ht="11.25" customHeight="1">
      <c r="A371" s="609"/>
      <c r="B371" s="518"/>
      <c r="C371" s="611"/>
      <c r="D371" s="468" t="s">
        <v>866</v>
      </c>
      <c r="E371" s="521"/>
      <c r="F371" s="521"/>
      <c r="G371" s="613">
        <v>26061</v>
      </c>
      <c r="H371" s="521"/>
      <c r="I371" s="611"/>
      <c r="J371" s="521"/>
      <c r="K371" s="535">
        <f t="shared" si="73"/>
        <v>26061</v>
      </c>
      <c r="L371" s="521"/>
      <c r="M371" s="521"/>
      <c r="N371" s="521"/>
      <c r="O371" s="569">
        <f t="shared" si="74"/>
        <v>26061</v>
      </c>
      <c r="P371" s="608"/>
    </row>
    <row r="372" spans="1:16" ht="11.25" customHeight="1">
      <c r="A372" s="609"/>
      <c r="B372" s="518">
        <v>7</v>
      </c>
      <c r="C372" s="611" t="s">
        <v>632</v>
      </c>
      <c r="D372" s="613" t="s">
        <v>564</v>
      </c>
      <c r="E372" s="521"/>
      <c r="F372" s="521"/>
      <c r="G372" s="613"/>
      <c r="H372" s="521"/>
      <c r="I372" s="611"/>
      <c r="J372" s="521"/>
      <c r="K372" s="535"/>
      <c r="L372" s="521"/>
      <c r="M372" s="521"/>
      <c r="N372" s="521"/>
      <c r="O372" s="569"/>
      <c r="P372" s="608"/>
    </row>
    <row r="373" spans="1:16" ht="11.25" customHeight="1">
      <c r="A373" s="609"/>
      <c r="B373" s="518"/>
      <c r="C373" s="611"/>
      <c r="D373" s="468" t="s">
        <v>864</v>
      </c>
      <c r="E373" s="521"/>
      <c r="F373" s="521"/>
      <c r="G373" s="613">
        <v>68057</v>
      </c>
      <c r="H373" s="521"/>
      <c r="I373" s="611"/>
      <c r="J373" s="521"/>
      <c r="K373" s="535">
        <f t="shared" si="73"/>
        <v>68057</v>
      </c>
      <c r="L373" s="521"/>
      <c r="M373" s="521"/>
      <c r="N373" s="521"/>
      <c r="O373" s="569">
        <f t="shared" si="74"/>
        <v>68057</v>
      </c>
      <c r="P373" s="608"/>
    </row>
    <row r="374" spans="1:16" ht="11.25" customHeight="1">
      <c r="A374" s="609"/>
      <c r="B374" s="518"/>
      <c r="C374" s="611"/>
      <c r="D374" s="468" t="s">
        <v>865</v>
      </c>
      <c r="E374" s="521"/>
      <c r="F374" s="521"/>
      <c r="G374" s="613">
        <v>68057</v>
      </c>
      <c r="H374" s="521"/>
      <c r="I374" s="611"/>
      <c r="J374" s="521"/>
      <c r="K374" s="535">
        <f t="shared" si="73"/>
        <v>68057</v>
      </c>
      <c r="L374" s="521"/>
      <c r="M374" s="521"/>
      <c r="N374" s="521"/>
      <c r="O374" s="569">
        <f t="shared" si="74"/>
        <v>68057</v>
      </c>
      <c r="P374" s="608"/>
    </row>
    <row r="375" spans="1:16" ht="11.25" customHeight="1">
      <c r="A375" s="609"/>
      <c r="B375" s="518"/>
      <c r="C375" s="611"/>
      <c r="D375" s="468" t="s">
        <v>866</v>
      </c>
      <c r="E375" s="521"/>
      <c r="F375" s="521"/>
      <c r="G375" s="613">
        <v>62123</v>
      </c>
      <c r="H375" s="521"/>
      <c r="I375" s="611"/>
      <c r="J375" s="521"/>
      <c r="K375" s="535">
        <f t="shared" si="73"/>
        <v>62123</v>
      </c>
      <c r="L375" s="521"/>
      <c r="M375" s="521"/>
      <c r="N375" s="521"/>
      <c r="O375" s="569">
        <f t="shared" si="74"/>
        <v>62123</v>
      </c>
      <c r="P375" s="608"/>
    </row>
    <row r="376" spans="1:16" ht="11.25" customHeight="1">
      <c r="A376" s="609"/>
      <c r="B376" s="518">
        <v>8</v>
      </c>
      <c r="C376" s="611" t="s">
        <v>632</v>
      </c>
      <c r="D376" s="636" t="s">
        <v>809</v>
      </c>
      <c r="E376" s="521"/>
      <c r="F376" s="521"/>
      <c r="G376" s="613"/>
      <c r="H376" s="521"/>
      <c r="I376" s="611"/>
      <c r="J376" s="521"/>
      <c r="K376" s="535"/>
      <c r="L376" s="521"/>
      <c r="M376" s="521"/>
      <c r="N376" s="521"/>
      <c r="O376" s="569"/>
      <c r="P376" s="608"/>
    </row>
    <row r="377" spans="1:16" ht="11.25" customHeight="1">
      <c r="A377" s="609"/>
      <c r="B377" s="518"/>
      <c r="C377" s="611"/>
      <c r="D377" s="468" t="s">
        <v>864</v>
      </c>
      <c r="E377" s="521"/>
      <c r="F377" s="521"/>
      <c r="G377" s="613"/>
      <c r="H377" s="521"/>
      <c r="I377" s="611"/>
      <c r="J377" s="521"/>
      <c r="K377" s="535">
        <f t="shared" si="73"/>
        <v>0</v>
      </c>
      <c r="L377" s="521"/>
      <c r="M377" s="521"/>
      <c r="N377" s="521"/>
      <c r="O377" s="569">
        <f t="shared" si="74"/>
        <v>0</v>
      </c>
      <c r="P377" s="608"/>
    </row>
    <row r="378" spans="1:16" ht="11.25" customHeight="1">
      <c r="A378" s="609"/>
      <c r="B378" s="518"/>
      <c r="C378" s="611"/>
      <c r="D378" s="468" t="s">
        <v>865</v>
      </c>
      <c r="E378" s="521"/>
      <c r="F378" s="521"/>
      <c r="G378" s="613"/>
      <c r="H378" s="521"/>
      <c r="I378" s="611"/>
      <c r="J378" s="521">
        <v>595</v>
      </c>
      <c r="K378" s="535">
        <f t="shared" si="73"/>
        <v>595</v>
      </c>
      <c r="L378" s="521"/>
      <c r="M378" s="521">
        <v>5239</v>
      </c>
      <c r="N378" s="521"/>
      <c r="O378" s="569">
        <f t="shared" si="74"/>
        <v>5834</v>
      </c>
      <c r="P378" s="608"/>
    </row>
    <row r="379" spans="1:16" ht="11.25" customHeight="1">
      <c r="A379" s="609"/>
      <c r="B379" s="518"/>
      <c r="C379" s="611"/>
      <c r="D379" s="468" t="s">
        <v>866</v>
      </c>
      <c r="E379" s="521"/>
      <c r="F379" s="521"/>
      <c r="G379" s="613"/>
      <c r="H379" s="521"/>
      <c r="I379" s="611"/>
      <c r="J379" s="521">
        <v>594</v>
      </c>
      <c r="K379" s="535">
        <f t="shared" si="73"/>
        <v>594</v>
      </c>
      <c r="L379" s="521"/>
      <c r="M379" s="521">
        <v>5239</v>
      </c>
      <c r="N379" s="521"/>
      <c r="O379" s="569">
        <f t="shared" si="74"/>
        <v>5833</v>
      </c>
      <c r="P379" s="608"/>
    </row>
    <row r="380" spans="1:16" ht="11.25" customHeight="1">
      <c r="A380" s="609"/>
      <c r="B380" s="518">
        <v>9</v>
      </c>
      <c r="C380" s="611" t="s">
        <v>632</v>
      </c>
      <c r="D380" s="636" t="s">
        <v>848</v>
      </c>
      <c r="E380" s="521"/>
      <c r="F380" s="521"/>
      <c r="G380" s="613"/>
      <c r="H380" s="521"/>
      <c r="I380" s="611"/>
      <c r="J380" s="521"/>
      <c r="K380" s="535"/>
      <c r="L380" s="521"/>
      <c r="M380" s="521"/>
      <c r="N380" s="521"/>
      <c r="O380" s="569"/>
      <c r="P380" s="608"/>
    </row>
    <row r="381" spans="1:16" ht="11.25" customHeight="1">
      <c r="A381" s="513"/>
      <c r="B381" s="514"/>
      <c r="C381" s="515"/>
      <c r="D381" s="468" t="s">
        <v>864</v>
      </c>
      <c r="E381" s="501"/>
      <c r="F381" s="501"/>
      <c r="G381" s="516"/>
      <c r="H381" s="501"/>
      <c r="I381" s="515"/>
      <c r="J381" s="501"/>
      <c r="K381" s="535">
        <f t="shared" si="73"/>
        <v>0</v>
      </c>
      <c r="L381" s="501"/>
      <c r="M381" s="501"/>
      <c r="N381" s="501"/>
      <c r="O381" s="569">
        <f t="shared" si="74"/>
        <v>0</v>
      </c>
      <c r="P381" s="507"/>
    </row>
    <row r="382" spans="1:16" ht="11.25" customHeight="1">
      <c r="A382" s="513"/>
      <c r="B382" s="514"/>
      <c r="C382" s="515"/>
      <c r="D382" s="468" t="s">
        <v>865</v>
      </c>
      <c r="E382" s="501"/>
      <c r="F382" s="501"/>
      <c r="G382" s="516"/>
      <c r="H382" s="501"/>
      <c r="I382" s="515">
        <v>50</v>
      </c>
      <c r="J382" s="501">
        <v>0</v>
      </c>
      <c r="K382" s="535">
        <f t="shared" si="73"/>
        <v>50</v>
      </c>
      <c r="L382" s="501"/>
      <c r="M382" s="501"/>
      <c r="N382" s="501"/>
      <c r="O382" s="569">
        <f t="shared" si="74"/>
        <v>50</v>
      </c>
      <c r="P382" s="507"/>
    </row>
    <row r="383" spans="1:16" ht="11.25" customHeight="1" thickBot="1">
      <c r="A383" s="623"/>
      <c r="B383" s="624"/>
      <c r="C383" s="625"/>
      <c r="D383" s="468" t="s">
        <v>866</v>
      </c>
      <c r="E383" s="626"/>
      <c r="F383" s="626"/>
      <c r="G383" s="637"/>
      <c r="H383" s="626"/>
      <c r="I383" s="625">
        <v>50</v>
      </c>
      <c r="J383" s="626"/>
      <c r="K383" s="535">
        <f t="shared" si="73"/>
        <v>50</v>
      </c>
      <c r="L383" s="626"/>
      <c r="M383" s="626"/>
      <c r="N383" s="626"/>
      <c r="O383" s="569">
        <f t="shared" si="74"/>
        <v>50</v>
      </c>
      <c r="P383" s="495"/>
    </row>
    <row r="384" spans="1:16" s="24" customFormat="1" ht="26.25" customHeight="1">
      <c r="A384" s="564" t="s">
        <v>710</v>
      </c>
      <c r="B384" s="565" t="s">
        <v>316</v>
      </c>
      <c r="C384" s="566" t="s">
        <v>631</v>
      </c>
      <c r="D384" s="1964" t="s">
        <v>566</v>
      </c>
      <c r="E384" s="1965"/>
      <c r="F384" s="1966"/>
      <c r="G384" s="638"/>
      <c r="H384" s="639"/>
      <c r="I384" s="568"/>
      <c r="J384" s="530"/>
      <c r="K384" s="530"/>
      <c r="L384" s="530"/>
      <c r="M384" s="530"/>
      <c r="N384" s="530"/>
      <c r="O384" s="567"/>
      <c r="P384" s="531"/>
    </row>
    <row r="385" spans="1:16" s="24" customFormat="1" ht="12.75" customHeight="1">
      <c r="A385" s="513"/>
      <c r="B385" s="514"/>
      <c r="C385" s="640"/>
      <c r="D385" s="468" t="s">
        <v>864</v>
      </c>
      <c r="E385" s="629"/>
      <c r="F385" s="629"/>
      <c r="G385" s="641"/>
      <c r="H385" s="629"/>
      <c r="I385" s="597"/>
      <c r="J385" s="535">
        <v>7281</v>
      </c>
      <c r="K385" s="535">
        <v>7281</v>
      </c>
      <c r="L385" s="535"/>
      <c r="M385" s="535"/>
      <c r="N385" s="535"/>
      <c r="O385" s="569">
        <v>7281</v>
      </c>
      <c r="P385" s="507"/>
    </row>
    <row r="386" spans="1:16" s="24" customFormat="1" ht="12.75" customHeight="1">
      <c r="A386" s="513"/>
      <c r="B386" s="514"/>
      <c r="C386" s="640"/>
      <c r="D386" s="468" t="s">
        <v>865</v>
      </c>
      <c r="E386" s="629"/>
      <c r="F386" s="629"/>
      <c r="G386" s="641"/>
      <c r="H386" s="629"/>
      <c r="I386" s="597"/>
      <c r="J386" s="535">
        <v>7404</v>
      </c>
      <c r="K386" s="535">
        <v>7404</v>
      </c>
      <c r="L386" s="535"/>
      <c r="M386" s="535"/>
      <c r="N386" s="535"/>
      <c r="O386" s="569">
        <v>7404</v>
      </c>
      <c r="P386" s="507"/>
    </row>
    <row r="387" spans="1:16" s="24" customFormat="1" ht="12.75" customHeight="1" thickBot="1">
      <c r="A387" s="623"/>
      <c r="B387" s="624"/>
      <c r="C387" s="642"/>
      <c r="D387" s="461" t="s">
        <v>866</v>
      </c>
      <c r="E387" s="643"/>
      <c r="F387" s="643"/>
      <c r="G387" s="644"/>
      <c r="H387" s="643"/>
      <c r="I387" s="645"/>
      <c r="J387" s="631">
        <v>7280</v>
      </c>
      <c r="K387" s="631">
        <v>7280</v>
      </c>
      <c r="L387" s="631"/>
      <c r="M387" s="631"/>
      <c r="N387" s="631"/>
      <c r="O387" s="632">
        <v>7280</v>
      </c>
      <c r="P387" s="495"/>
    </row>
    <row r="388" spans="1:16" ht="24.75" customHeight="1">
      <c r="A388" s="564" t="s">
        <v>604</v>
      </c>
      <c r="B388" s="565" t="s">
        <v>316</v>
      </c>
      <c r="C388" s="646" t="s">
        <v>632</v>
      </c>
      <c r="D388" s="1964" t="s">
        <v>567</v>
      </c>
      <c r="E388" s="1965"/>
      <c r="F388" s="1966"/>
      <c r="G388" s="638"/>
      <c r="H388" s="639"/>
      <c r="I388" s="568"/>
      <c r="J388" s="530"/>
      <c r="K388" s="530"/>
      <c r="L388" s="530"/>
      <c r="M388" s="530"/>
      <c r="N388" s="530"/>
      <c r="O388" s="567"/>
      <c r="P388" s="531"/>
    </row>
    <row r="389" spans="1:16" ht="13.5" customHeight="1">
      <c r="A389" s="513"/>
      <c r="B389" s="514"/>
      <c r="C389" s="640"/>
      <c r="D389" s="468" t="s">
        <v>864</v>
      </c>
      <c r="E389" s="647"/>
      <c r="F389" s="629"/>
      <c r="G389" s="641"/>
      <c r="H389" s="629"/>
      <c r="I389" s="597"/>
      <c r="J389" s="535">
        <v>1805</v>
      </c>
      <c r="K389" s="535">
        <v>1805</v>
      </c>
      <c r="L389" s="535"/>
      <c r="M389" s="535">
        <v>3540</v>
      </c>
      <c r="N389" s="535"/>
      <c r="O389" s="569">
        <v>5345</v>
      </c>
      <c r="P389" s="507"/>
    </row>
    <row r="390" spans="1:16" ht="13.5" customHeight="1">
      <c r="A390" s="513"/>
      <c r="B390" s="514"/>
      <c r="C390" s="640"/>
      <c r="D390" s="468" t="s">
        <v>865</v>
      </c>
      <c r="E390" s="647"/>
      <c r="F390" s="629"/>
      <c r="G390" s="641"/>
      <c r="H390" s="629"/>
      <c r="I390" s="597"/>
      <c r="J390" s="535">
        <v>2254</v>
      </c>
      <c r="K390" s="535">
        <v>2254</v>
      </c>
      <c r="L390" s="535"/>
      <c r="M390" s="535">
        <v>3570</v>
      </c>
      <c r="N390" s="535"/>
      <c r="O390" s="569">
        <v>5794</v>
      </c>
      <c r="P390" s="507"/>
    </row>
    <row r="391" spans="1:16" ht="13.5" customHeight="1" thickBot="1">
      <c r="A391" s="550"/>
      <c r="B391" s="508"/>
      <c r="C391" s="648"/>
      <c r="D391" s="461" t="s">
        <v>866</v>
      </c>
      <c r="E391" s="649"/>
      <c r="F391" s="630"/>
      <c r="G391" s="650"/>
      <c r="H391" s="630"/>
      <c r="I391" s="577"/>
      <c r="J391" s="537">
        <v>2056</v>
      </c>
      <c r="K391" s="537">
        <f>SUM(I391:J391)</f>
        <v>2056</v>
      </c>
      <c r="L391" s="537"/>
      <c r="M391" s="537">
        <v>3285</v>
      </c>
      <c r="N391" s="537"/>
      <c r="O391" s="522">
        <f>SUM(K391:N391)</f>
        <v>5341</v>
      </c>
      <c r="P391" s="512"/>
    </row>
    <row r="392" spans="1:16" ht="12.75" customHeight="1">
      <c r="A392" s="602" t="s">
        <v>605</v>
      </c>
      <c r="B392" s="603"/>
      <c r="C392" s="618"/>
      <c r="D392" s="591" t="s">
        <v>511</v>
      </c>
      <c r="E392" s="540"/>
      <c r="F392" s="540"/>
      <c r="G392" s="540"/>
      <c r="H392" s="540"/>
      <c r="I392" s="540"/>
      <c r="J392" s="540"/>
      <c r="K392" s="540"/>
      <c r="L392" s="540"/>
      <c r="M392" s="540"/>
      <c r="N392" s="540"/>
      <c r="O392" s="591"/>
      <c r="P392" s="604"/>
    </row>
    <row r="393" spans="1:16" ht="12.75" customHeight="1">
      <c r="A393" s="496"/>
      <c r="B393" s="497"/>
      <c r="C393" s="651"/>
      <c r="D393" s="468" t="s">
        <v>864</v>
      </c>
      <c r="E393" s="616">
        <f>E397+E401+E405+E409+E413+E417+E421+E425+E429+E433+E437+E441+E445+E449+E453</f>
        <v>0</v>
      </c>
      <c r="F393" s="616">
        <f aca="true" t="shared" si="77" ref="F393:O393">F397+F401+F405+F409+F413+F417+F421+F425+F429+F433+F437+F441+F445+F449+F453</f>
        <v>0</v>
      </c>
      <c r="G393" s="616">
        <f t="shared" si="77"/>
        <v>600</v>
      </c>
      <c r="H393" s="616">
        <f t="shared" si="77"/>
        <v>0</v>
      </c>
      <c r="I393" s="616">
        <f t="shared" si="77"/>
        <v>178760</v>
      </c>
      <c r="J393" s="616">
        <f t="shared" si="77"/>
        <v>0</v>
      </c>
      <c r="K393" s="616">
        <f t="shared" si="77"/>
        <v>179360</v>
      </c>
      <c r="L393" s="616">
        <f t="shared" si="77"/>
        <v>0</v>
      </c>
      <c r="M393" s="616">
        <f t="shared" si="77"/>
        <v>0</v>
      </c>
      <c r="N393" s="616">
        <f t="shared" si="77"/>
        <v>0</v>
      </c>
      <c r="O393" s="616">
        <f t="shared" si="77"/>
        <v>179360</v>
      </c>
      <c r="P393" s="506"/>
    </row>
    <row r="394" spans="1:16" ht="12.75" customHeight="1">
      <c r="A394" s="496"/>
      <c r="B394" s="497"/>
      <c r="C394" s="651"/>
      <c r="D394" s="468" t="s">
        <v>865</v>
      </c>
      <c r="E394" s="616">
        <f aca="true" t="shared" si="78" ref="E394:O395">E398+E402+E406+E410+E414+E418+E422+E426+E430+E434+E438+E442+E446+E450+E454</f>
        <v>0</v>
      </c>
      <c r="F394" s="616">
        <f t="shared" si="78"/>
        <v>0</v>
      </c>
      <c r="G394" s="616">
        <f t="shared" si="78"/>
        <v>648</v>
      </c>
      <c r="H394" s="616">
        <f t="shared" si="78"/>
        <v>0</v>
      </c>
      <c r="I394" s="616">
        <f t="shared" si="78"/>
        <v>178782</v>
      </c>
      <c r="J394" s="616">
        <f t="shared" si="78"/>
        <v>0</v>
      </c>
      <c r="K394" s="616">
        <f t="shared" si="78"/>
        <v>179430</v>
      </c>
      <c r="L394" s="616">
        <f t="shared" si="78"/>
        <v>0</v>
      </c>
      <c r="M394" s="616">
        <f t="shared" si="78"/>
        <v>0</v>
      </c>
      <c r="N394" s="616">
        <f t="shared" si="78"/>
        <v>0</v>
      </c>
      <c r="O394" s="616">
        <f t="shared" si="78"/>
        <v>179430</v>
      </c>
      <c r="P394" s="506"/>
    </row>
    <row r="395" spans="1:16" ht="12.75" customHeight="1">
      <c r="A395" s="496"/>
      <c r="B395" s="497"/>
      <c r="C395" s="651"/>
      <c r="D395" s="468" t="s">
        <v>866</v>
      </c>
      <c r="E395" s="616">
        <f t="shared" si="78"/>
        <v>0</v>
      </c>
      <c r="F395" s="616">
        <f t="shared" si="78"/>
        <v>0</v>
      </c>
      <c r="G395" s="616">
        <f>G399+G403+G407+G411+G415+G419+G423+G427+G431+G435+G439+G443+G447+G451+G455</f>
        <v>112</v>
      </c>
      <c r="H395" s="616">
        <f t="shared" si="78"/>
        <v>0</v>
      </c>
      <c r="I395" s="616">
        <f t="shared" si="78"/>
        <v>117142</v>
      </c>
      <c r="J395" s="616">
        <f t="shared" si="78"/>
        <v>0</v>
      </c>
      <c r="K395" s="616">
        <f t="shared" si="78"/>
        <v>117254</v>
      </c>
      <c r="L395" s="616">
        <f t="shared" si="78"/>
        <v>0</v>
      </c>
      <c r="M395" s="616">
        <f t="shared" si="78"/>
        <v>0</v>
      </c>
      <c r="N395" s="616">
        <f t="shared" si="78"/>
        <v>0</v>
      </c>
      <c r="O395" s="616">
        <f t="shared" si="78"/>
        <v>117254</v>
      </c>
      <c r="P395" s="506"/>
    </row>
    <row r="396" spans="1:16" ht="11.25" customHeight="1">
      <c r="A396" s="513"/>
      <c r="B396" s="514" t="s">
        <v>316</v>
      </c>
      <c r="C396" s="515" t="s">
        <v>631</v>
      </c>
      <c r="D396" s="559" t="s">
        <v>659</v>
      </c>
      <c r="E396" s="560"/>
      <c r="F396" s="560"/>
      <c r="G396" s="634"/>
      <c r="H396" s="560"/>
      <c r="I396" s="501"/>
      <c r="J396" s="501"/>
      <c r="K396" s="535"/>
      <c r="L396" s="501"/>
      <c r="M396" s="501"/>
      <c r="N396" s="501"/>
      <c r="O396" s="569"/>
      <c r="P396" s="507"/>
    </row>
    <row r="397" spans="1:16" ht="11.25" customHeight="1">
      <c r="A397" s="513"/>
      <c r="B397" s="514"/>
      <c r="C397" s="515"/>
      <c r="D397" s="468" t="s">
        <v>864</v>
      </c>
      <c r="E397" s="560"/>
      <c r="F397" s="560"/>
      <c r="G397" s="634"/>
      <c r="H397" s="560"/>
      <c r="I397" s="501">
        <v>18000</v>
      </c>
      <c r="J397" s="501"/>
      <c r="K397" s="535">
        <f>SUM(E397:J397)</f>
        <v>18000</v>
      </c>
      <c r="L397" s="501"/>
      <c r="M397" s="501"/>
      <c r="N397" s="501"/>
      <c r="O397" s="569">
        <f>SUM(K397:N397)</f>
        <v>18000</v>
      </c>
      <c r="P397" s="507"/>
    </row>
    <row r="398" spans="1:16" ht="11.25" customHeight="1">
      <c r="A398" s="513"/>
      <c r="B398" s="514"/>
      <c r="C398" s="515"/>
      <c r="D398" s="468" t="s">
        <v>865</v>
      </c>
      <c r="E398" s="560"/>
      <c r="F398" s="560"/>
      <c r="G398" s="634"/>
      <c r="H398" s="560"/>
      <c r="I398" s="501">
        <v>18000</v>
      </c>
      <c r="J398" s="501"/>
      <c r="K398" s="535">
        <f aca="true" t="shared" si="79" ref="K398:K455">SUM(E398:J398)</f>
        <v>18000</v>
      </c>
      <c r="L398" s="501"/>
      <c r="M398" s="501"/>
      <c r="N398" s="501"/>
      <c r="O398" s="569">
        <f aca="true" t="shared" si="80" ref="O398:O455">SUM(K398:N398)</f>
        <v>18000</v>
      </c>
      <c r="P398" s="507"/>
    </row>
    <row r="399" spans="1:16" ht="11.25" customHeight="1">
      <c r="A399" s="513"/>
      <c r="B399" s="514"/>
      <c r="C399" s="515"/>
      <c r="D399" s="468" t="s">
        <v>866</v>
      </c>
      <c r="E399" s="560"/>
      <c r="F399" s="560"/>
      <c r="G399" s="634"/>
      <c r="H399" s="560"/>
      <c r="I399" s="501">
        <v>13218</v>
      </c>
      <c r="J399" s="501"/>
      <c r="K399" s="535">
        <f t="shared" si="79"/>
        <v>13218</v>
      </c>
      <c r="L399" s="501"/>
      <c r="M399" s="501"/>
      <c r="N399" s="501"/>
      <c r="O399" s="569">
        <f t="shared" si="80"/>
        <v>13218</v>
      </c>
      <c r="P399" s="507"/>
    </row>
    <row r="400" spans="1:16" ht="11.25" customHeight="1">
      <c r="A400" s="513"/>
      <c r="B400" s="514" t="s">
        <v>318</v>
      </c>
      <c r="C400" s="515" t="s">
        <v>631</v>
      </c>
      <c r="D400" s="559" t="s">
        <v>378</v>
      </c>
      <c r="E400" s="560"/>
      <c r="F400" s="560"/>
      <c r="G400" s="634"/>
      <c r="H400" s="560"/>
      <c r="I400" s="501"/>
      <c r="J400" s="501"/>
      <c r="K400" s="535"/>
      <c r="L400" s="501"/>
      <c r="M400" s="501"/>
      <c r="N400" s="501"/>
      <c r="O400" s="569"/>
      <c r="P400" s="507"/>
    </row>
    <row r="401" spans="1:16" ht="11.25" customHeight="1">
      <c r="A401" s="513"/>
      <c r="B401" s="514"/>
      <c r="C401" s="515"/>
      <c r="D401" s="468" t="s">
        <v>864</v>
      </c>
      <c r="E401" s="560"/>
      <c r="F401" s="560"/>
      <c r="G401" s="634"/>
      <c r="H401" s="560"/>
      <c r="I401" s="501">
        <v>14000</v>
      </c>
      <c r="J401" s="501"/>
      <c r="K401" s="535">
        <f t="shared" si="79"/>
        <v>14000</v>
      </c>
      <c r="L401" s="501"/>
      <c r="M401" s="501"/>
      <c r="N401" s="501"/>
      <c r="O401" s="569">
        <f t="shared" si="80"/>
        <v>14000</v>
      </c>
      <c r="P401" s="507"/>
    </row>
    <row r="402" spans="1:16" ht="11.25" customHeight="1">
      <c r="A402" s="513"/>
      <c r="B402" s="514"/>
      <c r="C402" s="515"/>
      <c r="D402" s="468" t="s">
        <v>865</v>
      </c>
      <c r="E402" s="560"/>
      <c r="F402" s="560"/>
      <c r="G402" s="634"/>
      <c r="H402" s="560"/>
      <c r="I402" s="501">
        <v>14000</v>
      </c>
      <c r="J402" s="501"/>
      <c r="K402" s="535">
        <f t="shared" si="79"/>
        <v>14000</v>
      </c>
      <c r="L402" s="501"/>
      <c r="M402" s="501"/>
      <c r="N402" s="501"/>
      <c r="O402" s="569">
        <f t="shared" si="80"/>
        <v>14000</v>
      </c>
      <c r="P402" s="507"/>
    </row>
    <row r="403" spans="1:16" ht="11.25" customHeight="1">
      <c r="A403" s="513"/>
      <c r="B403" s="514"/>
      <c r="C403" s="515"/>
      <c r="D403" s="468" t="s">
        <v>866</v>
      </c>
      <c r="E403" s="560"/>
      <c r="F403" s="560"/>
      <c r="G403" s="634"/>
      <c r="H403" s="560"/>
      <c r="I403" s="501">
        <v>11618</v>
      </c>
      <c r="J403" s="501"/>
      <c r="K403" s="535">
        <f t="shared" si="79"/>
        <v>11618</v>
      </c>
      <c r="L403" s="501"/>
      <c r="M403" s="501"/>
      <c r="N403" s="501"/>
      <c r="O403" s="569">
        <f t="shared" si="80"/>
        <v>11618</v>
      </c>
      <c r="P403" s="507"/>
    </row>
    <row r="404" spans="1:16" ht="11.25" customHeight="1">
      <c r="A404" s="513"/>
      <c r="B404" s="514" t="s">
        <v>319</v>
      </c>
      <c r="C404" s="515" t="s">
        <v>631</v>
      </c>
      <c r="D404" s="559" t="s">
        <v>512</v>
      </c>
      <c r="E404" s="560"/>
      <c r="F404" s="560"/>
      <c r="G404" s="634"/>
      <c r="H404" s="560"/>
      <c r="I404" s="501"/>
      <c r="J404" s="501"/>
      <c r="K404" s="535"/>
      <c r="L404" s="501"/>
      <c r="M404" s="501"/>
      <c r="N404" s="501"/>
      <c r="O404" s="569"/>
      <c r="P404" s="507"/>
    </row>
    <row r="405" spans="1:16" ht="11.25" customHeight="1">
      <c r="A405" s="513"/>
      <c r="B405" s="514"/>
      <c r="C405" s="515"/>
      <c r="D405" s="468" t="s">
        <v>864</v>
      </c>
      <c r="E405" s="560"/>
      <c r="F405" s="560"/>
      <c r="G405" s="634"/>
      <c r="H405" s="560"/>
      <c r="I405" s="501">
        <v>24000</v>
      </c>
      <c r="J405" s="501"/>
      <c r="K405" s="535">
        <f t="shared" si="79"/>
        <v>24000</v>
      </c>
      <c r="L405" s="501"/>
      <c r="M405" s="501"/>
      <c r="N405" s="501"/>
      <c r="O405" s="569">
        <f t="shared" si="80"/>
        <v>24000</v>
      </c>
      <c r="P405" s="507"/>
    </row>
    <row r="406" spans="1:16" ht="11.25" customHeight="1">
      <c r="A406" s="513"/>
      <c r="B406" s="514"/>
      <c r="C406" s="515"/>
      <c r="D406" s="468" t="s">
        <v>865</v>
      </c>
      <c r="E406" s="560"/>
      <c r="F406" s="560"/>
      <c r="G406" s="634"/>
      <c r="H406" s="560"/>
      <c r="I406" s="501">
        <v>24000</v>
      </c>
      <c r="J406" s="501"/>
      <c r="K406" s="535">
        <f t="shared" si="79"/>
        <v>24000</v>
      </c>
      <c r="L406" s="501"/>
      <c r="M406" s="501"/>
      <c r="N406" s="501"/>
      <c r="O406" s="569">
        <f t="shared" si="80"/>
        <v>24000</v>
      </c>
      <c r="P406" s="507"/>
    </row>
    <row r="407" spans="1:16" ht="11.25" customHeight="1">
      <c r="A407" s="513"/>
      <c r="B407" s="514"/>
      <c r="C407" s="515"/>
      <c r="D407" s="468" t="s">
        <v>866</v>
      </c>
      <c r="E407" s="560"/>
      <c r="F407" s="560"/>
      <c r="G407" s="634"/>
      <c r="H407" s="560"/>
      <c r="I407" s="501">
        <v>19230</v>
      </c>
      <c r="J407" s="501"/>
      <c r="K407" s="535">
        <f t="shared" si="79"/>
        <v>19230</v>
      </c>
      <c r="L407" s="501"/>
      <c r="M407" s="501"/>
      <c r="N407" s="501"/>
      <c r="O407" s="569">
        <f t="shared" si="80"/>
        <v>19230</v>
      </c>
      <c r="P407" s="507"/>
    </row>
    <row r="408" spans="1:16" ht="11.25" customHeight="1">
      <c r="A408" s="513"/>
      <c r="B408" s="514" t="s">
        <v>321</v>
      </c>
      <c r="C408" s="515" t="s">
        <v>631</v>
      </c>
      <c r="D408" s="559" t="s">
        <v>513</v>
      </c>
      <c r="E408" s="560"/>
      <c r="F408" s="560"/>
      <c r="G408" s="634"/>
      <c r="H408" s="560"/>
      <c r="I408" s="501"/>
      <c r="J408" s="501"/>
      <c r="K408" s="535"/>
      <c r="L408" s="501"/>
      <c r="M408" s="501"/>
      <c r="N408" s="501"/>
      <c r="O408" s="569"/>
      <c r="P408" s="507"/>
    </row>
    <row r="409" spans="1:16" ht="11.25" customHeight="1">
      <c r="A409" s="513"/>
      <c r="B409" s="514"/>
      <c r="C409" s="515"/>
      <c r="D409" s="468" t="s">
        <v>864</v>
      </c>
      <c r="E409" s="560"/>
      <c r="F409" s="560"/>
      <c r="G409" s="634"/>
      <c r="H409" s="560"/>
      <c r="I409" s="501">
        <v>60</v>
      </c>
      <c r="J409" s="501"/>
      <c r="K409" s="535">
        <f t="shared" si="79"/>
        <v>60</v>
      </c>
      <c r="L409" s="501"/>
      <c r="M409" s="501"/>
      <c r="N409" s="501"/>
      <c r="O409" s="569">
        <f t="shared" si="80"/>
        <v>60</v>
      </c>
      <c r="P409" s="507"/>
    </row>
    <row r="410" spans="1:16" ht="11.25" customHeight="1">
      <c r="A410" s="513"/>
      <c r="B410" s="514"/>
      <c r="C410" s="515"/>
      <c r="D410" s="468" t="s">
        <v>865</v>
      </c>
      <c r="E410" s="560"/>
      <c r="F410" s="560"/>
      <c r="G410" s="634"/>
      <c r="H410" s="560"/>
      <c r="I410" s="501">
        <v>60</v>
      </c>
      <c r="J410" s="501"/>
      <c r="K410" s="535">
        <f t="shared" si="79"/>
        <v>60</v>
      </c>
      <c r="L410" s="501"/>
      <c r="M410" s="501"/>
      <c r="N410" s="501"/>
      <c r="O410" s="569">
        <f t="shared" si="80"/>
        <v>60</v>
      </c>
      <c r="P410" s="507"/>
    </row>
    <row r="411" spans="1:16" ht="11.25" customHeight="1">
      <c r="A411" s="513"/>
      <c r="B411" s="514"/>
      <c r="C411" s="515"/>
      <c r="D411" s="468" t="s">
        <v>866</v>
      </c>
      <c r="E411" s="560"/>
      <c r="F411" s="560"/>
      <c r="G411" s="634"/>
      <c r="H411" s="560"/>
      <c r="I411" s="501">
        <v>0</v>
      </c>
      <c r="J411" s="501"/>
      <c r="K411" s="535">
        <f t="shared" si="79"/>
        <v>0</v>
      </c>
      <c r="L411" s="501"/>
      <c r="M411" s="501"/>
      <c r="N411" s="501"/>
      <c r="O411" s="569">
        <f t="shared" si="80"/>
        <v>0</v>
      </c>
      <c r="P411" s="507"/>
    </row>
    <row r="412" spans="1:16" ht="11.25" customHeight="1">
      <c r="A412" s="513"/>
      <c r="B412" s="514" t="s">
        <v>322</v>
      </c>
      <c r="C412" s="515" t="s">
        <v>631</v>
      </c>
      <c r="D412" s="559" t="s">
        <v>514</v>
      </c>
      <c r="E412" s="560"/>
      <c r="F412" s="560"/>
      <c r="G412" s="516"/>
      <c r="H412" s="501"/>
      <c r="I412" s="501"/>
      <c r="J412" s="501"/>
      <c r="K412" s="535"/>
      <c r="L412" s="501"/>
      <c r="M412" s="501"/>
      <c r="N412" s="501"/>
      <c r="O412" s="569"/>
      <c r="P412" s="507"/>
    </row>
    <row r="413" spans="1:16" ht="11.25" customHeight="1">
      <c r="A413" s="513"/>
      <c r="B413" s="514"/>
      <c r="C413" s="515"/>
      <c r="D413" s="468" t="s">
        <v>864</v>
      </c>
      <c r="E413" s="560"/>
      <c r="F413" s="560"/>
      <c r="G413" s="516">
        <v>600</v>
      </c>
      <c r="H413" s="501"/>
      <c r="I413" s="501">
        <v>38000</v>
      </c>
      <c r="J413" s="501"/>
      <c r="K413" s="535">
        <f t="shared" si="79"/>
        <v>38600</v>
      </c>
      <c r="L413" s="501"/>
      <c r="M413" s="501"/>
      <c r="N413" s="501"/>
      <c r="O413" s="569">
        <f t="shared" si="80"/>
        <v>38600</v>
      </c>
      <c r="P413" s="507"/>
    </row>
    <row r="414" spans="1:16" ht="11.25" customHeight="1">
      <c r="A414" s="513"/>
      <c r="B414" s="514"/>
      <c r="C414" s="515"/>
      <c r="D414" s="468" t="s">
        <v>865</v>
      </c>
      <c r="E414" s="560"/>
      <c r="F414" s="560"/>
      <c r="G414" s="516">
        <v>620</v>
      </c>
      <c r="H414" s="501"/>
      <c r="I414" s="501">
        <v>38031</v>
      </c>
      <c r="J414" s="501"/>
      <c r="K414" s="535">
        <f t="shared" si="79"/>
        <v>38651</v>
      </c>
      <c r="L414" s="501"/>
      <c r="M414" s="501"/>
      <c r="N414" s="501"/>
      <c r="O414" s="569">
        <f t="shared" si="80"/>
        <v>38651</v>
      </c>
      <c r="P414" s="507"/>
    </row>
    <row r="415" spans="1:16" ht="11.25" customHeight="1">
      <c r="A415" s="513"/>
      <c r="B415" s="514"/>
      <c r="C415" s="515"/>
      <c r="D415" s="468" t="s">
        <v>866</v>
      </c>
      <c r="E415" s="560"/>
      <c r="F415" s="560"/>
      <c r="G415" s="516">
        <f>88+12</f>
        <v>100</v>
      </c>
      <c r="H415" s="501"/>
      <c r="I415" s="501">
        <v>29355</v>
      </c>
      <c r="J415" s="501"/>
      <c r="K415" s="535">
        <f t="shared" si="79"/>
        <v>29455</v>
      </c>
      <c r="L415" s="501"/>
      <c r="M415" s="501"/>
      <c r="N415" s="501"/>
      <c r="O415" s="569">
        <f t="shared" si="80"/>
        <v>29455</v>
      </c>
      <c r="P415" s="507"/>
    </row>
    <row r="416" spans="1:16" ht="11.25" customHeight="1">
      <c r="A416" s="513"/>
      <c r="B416" s="514" t="s">
        <v>323</v>
      </c>
      <c r="C416" s="515" t="s">
        <v>632</v>
      </c>
      <c r="D416" s="559" t="s">
        <v>515</v>
      </c>
      <c r="E416" s="560"/>
      <c r="F416" s="560"/>
      <c r="G416" s="634"/>
      <c r="H416" s="560"/>
      <c r="I416" s="501"/>
      <c r="J416" s="501"/>
      <c r="K416" s="535"/>
      <c r="L416" s="501"/>
      <c r="M416" s="501"/>
      <c r="N416" s="501"/>
      <c r="O416" s="569"/>
      <c r="P416" s="507"/>
    </row>
    <row r="417" spans="1:16" ht="11.25" customHeight="1">
      <c r="A417" s="513"/>
      <c r="B417" s="514"/>
      <c r="C417" s="515"/>
      <c r="D417" s="468" t="s">
        <v>864</v>
      </c>
      <c r="E417" s="560"/>
      <c r="F417" s="560"/>
      <c r="G417" s="634"/>
      <c r="H417" s="560"/>
      <c r="I417" s="501">
        <v>5200</v>
      </c>
      <c r="J417" s="501"/>
      <c r="K417" s="535">
        <f t="shared" si="79"/>
        <v>5200</v>
      </c>
      <c r="L417" s="501"/>
      <c r="M417" s="501"/>
      <c r="N417" s="501"/>
      <c r="O417" s="569">
        <f t="shared" si="80"/>
        <v>5200</v>
      </c>
      <c r="P417" s="507"/>
    </row>
    <row r="418" spans="1:16" ht="11.25" customHeight="1">
      <c r="A418" s="513"/>
      <c r="B418" s="514"/>
      <c r="C418" s="515"/>
      <c r="D418" s="468" t="s">
        <v>865</v>
      </c>
      <c r="E418" s="560"/>
      <c r="F418" s="560"/>
      <c r="G418" s="634"/>
      <c r="H418" s="560"/>
      <c r="I418" s="501">
        <v>5200</v>
      </c>
      <c r="J418" s="501"/>
      <c r="K418" s="535">
        <f t="shared" si="79"/>
        <v>5200</v>
      </c>
      <c r="L418" s="501"/>
      <c r="M418" s="501"/>
      <c r="N418" s="501"/>
      <c r="O418" s="569">
        <f t="shared" si="80"/>
        <v>5200</v>
      </c>
      <c r="P418" s="507"/>
    </row>
    <row r="419" spans="1:16" ht="11.25" customHeight="1">
      <c r="A419" s="513"/>
      <c r="B419" s="514"/>
      <c r="C419" s="515"/>
      <c r="D419" s="468" t="s">
        <v>866</v>
      </c>
      <c r="E419" s="560"/>
      <c r="F419" s="560"/>
      <c r="G419" s="634"/>
      <c r="H419" s="560"/>
      <c r="I419" s="501">
        <v>4242</v>
      </c>
      <c r="J419" s="501"/>
      <c r="K419" s="535">
        <f t="shared" si="79"/>
        <v>4242</v>
      </c>
      <c r="L419" s="501"/>
      <c r="M419" s="501"/>
      <c r="N419" s="501"/>
      <c r="O419" s="569">
        <f t="shared" si="80"/>
        <v>4242</v>
      </c>
      <c r="P419" s="507"/>
    </row>
    <row r="420" spans="1:16" ht="11.25" customHeight="1">
      <c r="A420" s="513"/>
      <c r="B420" s="514" t="s">
        <v>324</v>
      </c>
      <c r="C420" s="515" t="s">
        <v>631</v>
      </c>
      <c r="D420" s="559" t="s">
        <v>516</v>
      </c>
      <c r="E420" s="560"/>
      <c r="F420" s="560"/>
      <c r="G420" s="634"/>
      <c r="H420" s="560"/>
      <c r="I420" s="501"/>
      <c r="J420" s="501"/>
      <c r="K420" s="535"/>
      <c r="L420" s="501"/>
      <c r="M420" s="501"/>
      <c r="N420" s="501"/>
      <c r="O420" s="569"/>
      <c r="P420" s="507"/>
    </row>
    <row r="421" spans="1:16" ht="11.25" customHeight="1">
      <c r="A421" s="513"/>
      <c r="B421" s="514"/>
      <c r="C421" s="515"/>
      <c r="D421" s="468" t="s">
        <v>864</v>
      </c>
      <c r="E421" s="560"/>
      <c r="F421" s="560"/>
      <c r="G421" s="634"/>
      <c r="H421" s="560"/>
      <c r="I421" s="501">
        <v>7500</v>
      </c>
      <c r="J421" s="501"/>
      <c r="K421" s="535">
        <f t="shared" si="79"/>
        <v>7500</v>
      </c>
      <c r="L421" s="501"/>
      <c r="M421" s="501"/>
      <c r="N421" s="501"/>
      <c r="O421" s="569">
        <f t="shared" si="80"/>
        <v>7500</v>
      </c>
      <c r="P421" s="507"/>
    </row>
    <row r="422" spans="1:16" ht="11.25" customHeight="1">
      <c r="A422" s="513"/>
      <c r="B422" s="514"/>
      <c r="C422" s="515"/>
      <c r="D422" s="468" t="s">
        <v>865</v>
      </c>
      <c r="E422" s="560"/>
      <c r="F422" s="560"/>
      <c r="G422" s="634"/>
      <c r="H422" s="560"/>
      <c r="I422" s="501">
        <v>7500</v>
      </c>
      <c r="J422" s="501"/>
      <c r="K422" s="535">
        <f t="shared" si="79"/>
        <v>7500</v>
      </c>
      <c r="L422" s="501"/>
      <c r="M422" s="501"/>
      <c r="N422" s="501"/>
      <c r="O422" s="569">
        <f t="shared" si="80"/>
        <v>7500</v>
      </c>
      <c r="P422" s="507"/>
    </row>
    <row r="423" spans="1:16" ht="11.25" customHeight="1">
      <c r="A423" s="513"/>
      <c r="B423" s="514"/>
      <c r="C423" s="515"/>
      <c r="D423" s="468" t="s">
        <v>866</v>
      </c>
      <c r="E423" s="560"/>
      <c r="F423" s="560"/>
      <c r="G423" s="634"/>
      <c r="H423" s="560"/>
      <c r="I423" s="501">
        <v>5951</v>
      </c>
      <c r="J423" s="501"/>
      <c r="K423" s="535">
        <f t="shared" si="79"/>
        <v>5951</v>
      </c>
      <c r="L423" s="501"/>
      <c r="M423" s="501"/>
      <c r="N423" s="501"/>
      <c r="O423" s="569">
        <f t="shared" si="80"/>
        <v>5951</v>
      </c>
      <c r="P423" s="507"/>
    </row>
    <row r="424" spans="1:16" ht="11.25" customHeight="1">
      <c r="A424" s="513"/>
      <c r="B424" s="514" t="s">
        <v>325</v>
      </c>
      <c r="C424" s="515" t="s">
        <v>631</v>
      </c>
      <c r="D424" s="559" t="s">
        <v>460</v>
      </c>
      <c r="E424" s="560"/>
      <c r="F424" s="560"/>
      <c r="G424" s="634"/>
      <c r="H424" s="560"/>
      <c r="I424" s="501"/>
      <c r="J424" s="501"/>
      <c r="K424" s="535"/>
      <c r="L424" s="501"/>
      <c r="M424" s="501"/>
      <c r="N424" s="501"/>
      <c r="O424" s="569"/>
      <c r="P424" s="507"/>
    </row>
    <row r="425" spans="1:16" ht="11.25" customHeight="1">
      <c r="A425" s="513"/>
      <c r="B425" s="514"/>
      <c r="C425" s="515"/>
      <c r="D425" s="468" t="s">
        <v>864</v>
      </c>
      <c r="E425" s="560"/>
      <c r="F425" s="560"/>
      <c r="G425" s="634"/>
      <c r="H425" s="560"/>
      <c r="I425" s="501">
        <v>600</v>
      </c>
      <c r="J425" s="501"/>
      <c r="K425" s="535">
        <f t="shared" si="79"/>
        <v>600</v>
      </c>
      <c r="L425" s="501"/>
      <c r="M425" s="501"/>
      <c r="N425" s="501"/>
      <c r="O425" s="569">
        <f t="shared" si="80"/>
        <v>600</v>
      </c>
      <c r="P425" s="507"/>
    </row>
    <row r="426" spans="1:16" ht="11.25" customHeight="1">
      <c r="A426" s="513"/>
      <c r="B426" s="514"/>
      <c r="C426" s="515"/>
      <c r="D426" s="468" t="s">
        <v>865</v>
      </c>
      <c r="E426" s="560"/>
      <c r="F426" s="560"/>
      <c r="G426" s="634"/>
      <c r="H426" s="560"/>
      <c r="I426" s="501">
        <v>600</v>
      </c>
      <c r="J426" s="501"/>
      <c r="K426" s="535">
        <f t="shared" si="79"/>
        <v>600</v>
      </c>
      <c r="L426" s="501"/>
      <c r="M426" s="501"/>
      <c r="N426" s="501"/>
      <c r="O426" s="569">
        <f t="shared" si="80"/>
        <v>600</v>
      </c>
      <c r="P426" s="507"/>
    </row>
    <row r="427" spans="1:16" ht="11.25" customHeight="1">
      <c r="A427" s="513"/>
      <c r="B427" s="514"/>
      <c r="C427" s="515"/>
      <c r="D427" s="468" t="s">
        <v>866</v>
      </c>
      <c r="E427" s="560"/>
      <c r="F427" s="560"/>
      <c r="G427" s="634"/>
      <c r="H427" s="560"/>
      <c r="I427" s="501">
        <v>0</v>
      </c>
      <c r="J427" s="501"/>
      <c r="K427" s="535">
        <f t="shared" si="79"/>
        <v>0</v>
      </c>
      <c r="L427" s="501"/>
      <c r="M427" s="501"/>
      <c r="N427" s="501"/>
      <c r="O427" s="569">
        <f t="shared" si="80"/>
        <v>0</v>
      </c>
      <c r="P427" s="507"/>
    </row>
    <row r="428" spans="1:16" ht="11.25" customHeight="1">
      <c r="A428" s="513"/>
      <c r="B428" s="514" t="s">
        <v>326</v>
      </c>
      <c r="C428" s="515" t="s">
        <v>631</v>
      </c>
      <c r="D428" s="559" t="s">
        <v>658</v>
      </c>
      <c r="E428" s="560"/>
      <c r="F428" s="560"/>
      <c r="G428" s="634"/>
      <c r="H428" s="560"/>
      <c r="I428" s="501"/>
      <c r="J428" s="501"/>
      <c r="K428" s="535"/>
      <c r="L428" s="501"/>
      <c r="M428" s="501"/>
      <c r="N428" s="501"/>
      <c r="O428" s="569"/>
      <c r="P428" s="507"/>
    </row>
    <row r="429" spans="1:16" ht="11.25" customHeight="1">
      <c r="A429" s="513"/>
      <c r="B429" s="514"/>
      <c r="C429" s="515"/>
      <c r="D429" s="468" t="s">
        <v>864</v>
      </c>
      <c r="E429" s="560"/>
      <c r="F429" s="560"/>
      <c r="G429" s="634"/>
      <c r="H429" s="560"/>
      <c r="I429" s="501">
        <v>60000</v>
      </c>
      <c r="J429" s="501"/>
      <c r="K429" s="535">
        <f t="shared" si="79"/>
        <v>60000</v>
      </c>
      <c r="L429" s="501"/>
      <c r="M429" s="501"/>
      <c r="N429" s="501"/>
      <c r="O429" s="569">
        <f t="shared" si="80"/>
        <v>60000</v>
      </c>
      <c r="P429" s="507"/>
    </row>
    <row r="430" spans="1:16" ht="11.25" customHeight="1">
      <c r="A430" s="513"/>
      <c r="B430" s="514"/>
      <c r="C430" s="515"/>
      <c r="D430" s="468" t="s">
        <v>865</v>
      </c>
      <c r="E430" s="560"/>
      <c r="F430" s="560"/>
      <c r="G430" s="634"/>
      <c r="H430" s="560"/>
      <c r="I430" s="501">
        <v>60019</v>
      </c>
      <c r="J430" s="501"/>
      <c r="K430" s="535">
        <f t="shared" si="79"/>
        <v>60019</v>
      </c>
      <c r="L430" s="501"/>
      <c r="M430" s="501"/>
      <c r="N430" s="501"/>
      <c r="O430" s="569">
        <f t="shared" si="80"/>
        <v>60019</v>
      </c>
      <c r="P430" s="507"/>
    </row>
    <row r="431" spans="1:16" ht="11.25" customHeight="1">
      <c r="A431" s="513"/>
      <c r="B431" s="514"/>
      <c r="C431" s="515"/>
      <c r="D431" s="468" t="s">
        <v>866</v>
      </c>
      <c r="E431" s="560"/>
      <c r="F431" s="560"/>
      <c r="G431" s="634"/>
      <c r="H431" s="560"/>
      <c r="I431" s="501">
        <v>27799</v>
      </c>
      <c r="J431" s="501"/>
      <c r="K431" s="535">
        <f t="shared" si="79"/>
        <v>27799</v>
      </c>
      <c r="L431" s="501"/>
      <c r="M431" s="501"/>
      <c r="N431" s="501"/>
      <c r="O431" s="569">
        <f t="shared" si="80"/>
        <v>27799</v>
      </c>
      <c r="P431" s="507"/>
    </row>
    <row r="432" spans="1:16" ht="11.25" customHeight="1">
      <c r="A432" s="513"/>
      <c r="B432" s="514" t="s">
        <v>327</v>
      </c>
      <c r="C432" s="515" t="s">
        <v>631</v>
      </c>
      <c r="D432" s="559" t="s">
        <v>487</v>
      </c>
      <c r="E432" s="560"/>
      <c r="F432" s="560"/>
      <c r="G432" s="634"/>
      <c r="H432" s="560"/>
      <c r="I432" s="501"/>
      <c r="J432" s="501"/>
      <c r="K432" s="535"/>
      <c r="L432" s="501"/>
      <c r="M432" s="501"/>
      <c r="N432" s="501"/>
      <c r="O432" s="569"/>
      <c r="P432" s="507"/>
    </row>
    <row r="433" spans="1:16" ht="11.25" customHeight="1">
      <c r="A433" s="513"/>
      <c r="B433" s="514"/>
      <c r="C433" s="515"/>
      <c r="D433" s="468" t="s">
        <v>864</v>
      </c>
      <c r="E433" s="560"/>
      <c r="F433" s="560"/>
      <c r="G433" s="634"/>
      <c r="H433" s="560"/>
      <c r="I433" s="501">
        <v>2000</v>
      </c>
      <c r="J433" s="501"/>
      <c r="K433" s="535">
        <f t="shared" si="79"/>
        <v>2000</v>
      </c>
      <c r="L433" s="501"/>
      <c r="M433" s="501"/>
      <c r="N433" s="501"/>
      <c r="O433" s="569">
        <f t="shared" si="80"/>
        <v>2000</v>
      </c>
      <c r="P433" s="507"/>
    </row>
    <row r="434" spans="1:16" ht="11.25" customHeight="1">
      <c r="A434" s="513"/>
      <c r="B434" s="514"/>
      <c r="C434" s="515"/>
      <c r="D434" s="468" t="s">
        <v>865</v>
      </c>
      <c r="E434" s="560"/>
      <c r="F434" s="560"/>
      <c r="G434" s="634"/>
      <c r="H434" s="560"/>
      <c r="I434" s="501">
        <v>2000</v>
      </c>
      <c r="J434" s="501"/>
      <c r="K434" s="535">
        <f t="shared" si="79"/>
        <v>2000</v>
      </c>
      <c r="L434" s="501"/>
      <c r="M434" s="501"/>
      <c r="N434" s="501"/>
      <c r="O434" s="569">
        <f t="shared" si="80"/>
        <v>2000</v>
      </c>
      <c r="P434" s="507"/>
    </row>
    <row r="435" spans="1:16" ht="11.25" customHeight="1">
      <c r="A435" s="513"/>
      <c r="B435" s="514"/>
      <c r="C435" s="515"/>
      <c r="D435" s="468" t="s">
        <v>866</v>
      </c>
      <c r="E435" s="560"/>
      <c r="F435" s="560"/>
      <c r="G435" s="634"/>
      <c r="H435" s="560"/>
      <c r="I435" s="501">
        <v>300</v>
      </c>
      <c r="J435" s="501"/>
      <c r="K435" s="535">
        <f t="shared" si="79"/>
        <v>300</v>
      </c>
      <c r="L435" s="501"/>
      <c r="M435" s="501"/>
      <c r="N435" s="501"/>
      <c r="O435" s="569">
        <f t="shared" si="80"/>
        <v>300</v>
      </c>
      <c r="P435" s="507"/>
    </row>
    <row r="436" spans="1:16" ht="11.25" customHeight="1">
      <c r="A436" s="513"/>
      <c r="B436" s="514" t="s">
        <v>328</v>
      </c>
      <c r="C436" s="515" t="s">
        <v>631</v>
      </c>
      <c r="D436" s="559" t="s">
        <v>456</v>
      </c>
      <c r="E436" s="560"/>
      <c r="F436" s="560"/>
      <c r="G436" s="516"/>
      <c r="H436" s="560"/>
      <c r="I436" s="501"/>
      <c r="J436" s="501"/>
      <c r="K436" s="535"/>
      <c r="L436" s="501"/>
      <c r="M436" s="501"/>
      <c r="N436" s="501"/>
      <c r="O436" s="569"/>
      <c r="P436" s="507"/>
    </row>
    <row r="437" spans="1:16" ht="11.25" customHeight="1">
      <c r="A437" s="513"/>
      <c r="B437" s="514"/>
      <c r="C437" s="515"/>
      <c r="D437" s="468" t="s">
        <v>864</v>
      </c>
      <c r="E437" s="560"/>
      <c r="F437" s="560"/>
      <c r="G437" s="516"/>
      <c r="H437" s="560"/>
      <c r="I437" s="501">
        <v>4000</v>
      </c>
      <c r="J437" s="501"/>
      <c r="K437" s="535">
        <f t="shared" si="79"/>
        <v>4000</v>
      </c>
      <c r="L437" s="501"/>
      <c r="M437" s="501"/>
      <c r="N437" s="501"/>
      <c r="O437" s="569">
        <f t="shared" si="80"/>
        <v>4000</v>
      </c>
      <c r="P437" s="507"/>
    </row>
    <row r="438" spans="1:16" ht="11.25" customHeight="1">
      <c r="A438" s="513"/>
      <c r="B438" s="514"/>
      <c r="C438" s="515"/>
      <c r="D438" s="468" t="s">
        <v>865</v>
      </c>
      <c r="E438" s="560"/>
      <c r="F438" s="560"/>
      <c r="G438" s="516">
        <v>20</v>
      </c>
      <c r="H438" s="560"/>
      <c r="I438" s="501">
        <v>3980</v>
      </c>
      <c r="J438" s="501"/>
      <c r="K438" s="535">
        <f t="shared" si="79"/>
        <v>4000</v>
      </c>
      <c r="L438" s="501"/>
      <c r="M438" s="501"/>
      <c r="N438" s="501"/>
      <c r="O438" s="569">
        <f t="shared" si="80"/>
        <v>4000</v>
      </c>
      <c r="P438" s="507"/>
    </row>
    <row r="439" spans="1:16" ht="11.25" customHeight="1">
      <c r="A439" s="513"/>
      <c r="B439" s="514"/>
      <c r="C439" s="515"/>
      <c r="D439" s="468" t="s">
        <v>866</v>
      </c>
      <c r="E439" s="560"/>
      <c r="F439" s="560"/>
      <c r="G439" s="516">
        <v>8</v>
      </c>
      <c r="H439" s="560"/>
      <c r="I439" s="501">
        <v>2458</v>
      </c>
      <c r="J439" s="501"/>
      <c r="K439" s="535">
        <f t="shared" si="79"/>
        <v>2466</v>
      </c>
      <c r="L439" s="501"/>
      <c r="M439" s="501"/>
      <c r="N439" s="501"/>
      <c r="O439" s="569">
        <f t="shared" si="80"/>
        <v>2466</v>
      </c>
      <c r="P439" s="507"/>
    </row>
    <row r="440" spans="1:16" ht="11.25" customHeight="1">
      <c r="A440" s="513"/>
      <c r="B440" s="514" t="s">
        <v>382</v>
      </c>
      <c r="C440" s="515" t="s">
        <v>631</v>
      </c>
      <c r="D440" s="559" t="s">
        <v>461</v>
      </c>
      <c r="E440" s="560"/>
      <c r="F440" s="560"/>
      <c r="G440" s="516"/>
      <c r="H440" s="560"/>
      <c r="I440" s="501"/>
      <c r="J440" s="501"/>
      <c r="K440" s="535"/>
      <c r="L440" s="501"/>
      <c r="M440" s="501"/>
      <c r="N440" s="501"/>
      <c r="O440" s="569"/>
      <c r="P440" s="507"/>
    </row>
    <row r="441" spans="1:16" ht="11.25" customHeight="1">
      <c r="A441" s="513"/>
      <c r="B441" s="514"/>
      <c r="C441" s="515"/>
      <c r="D441" s="468" t="s">
        <v>864</v>
      </c>
      <c r="E441" s="560"/>
      <c r="F441" s="560"/>
      <c r="G441" s="634"/>
      <c r="H441" s="560"/>
      <c r="I441" s="501">
        <v>500</v>
      </c>
      <c r="J441" s="501"/>
      <c r="K441" s="535">
        <f t="shared" si="79"/>
        <v>500</v>
      </c>
      <c r="L441" s="501"/>
      <c r="M441" s="501"/>
      <c r="N441" s="501"/>
      <c r="O441" s="569">
        <f t="shared" si="80"/>
        <v>500</v>
      </c>
      <c r="P441" s="507"/>
    </row>
    <row r="442" spans="1:16" ht="11.25" customHeight="1">
      <c r="A442" s="513"/>
      <c r="B442" s="514"/>
      <c r="C442" s="515"/>
      <c r="D442" s="468" t="s">
        <v>865</v>
      </c>
      <c r="E442" s="560"/>
      <c r="F442" s="560"/>
      <c r="G442" s="516">
        <v>8</v>
      </c>
      <c r="H442" s="560"/>
      <c r="I442" s="501">
        <v>492</v>
      </c>
      <c r="J442" s="501"/>
      <c r="K442" s="535">
        <f t="shared" si="79"/>
        <v>500</v>
      </c>
      <c r="L442" s="501"/>
      <c r="M442" s="501"/>
      <c r="N442" s="501"/>
      <c r="O442" s="569">
        <f t="shared" si="80"/>
        <v>500</v>
      </c>
      <c r="P442" s="507"/>
    </row>
    <row r="443" spans="1:16" ht="11.25" customHeight="1">
      <c r="A443" s="513"/>
      <c r="B443" s="514"/>
      <c r="C443" s="515"/>
      <c r="D443" s="468" t="s">
        <v>866</v>
      </c>
      <c r="E443" s="560"/>
      <c r="F443" s="560"/>
      <c r="G443" s="516">
        <v>4</v>
      </c>
      <c r="H443" s="560"/>
      <c r="I443" s="501">
        <v>256</v>
      </c>
      <c r="J443" s="501"/>
      <c r="K443" s="535">
        <f t="shared" si="79"/>
        <v>260</v>
      </c>
      <c r="L443" s="501"/>
      <c r="M443" s="501"/>
      <c r="N443" s="501"/>
      <c r="O443" s="569">
        <f t="shared" si="80"/>
        <v>260</v>
      </c>
      <c r="P443" s="507"/>
    </row>
    <row r="444" spans="1:16" ht="11.25" customHeight="1">
      <c r="A444" s="513"/>
      <c r="B444" s="514" t="s">
        <v>407</v>
      </c>
      <c r="C444" s="515" t="s">
        <v>631</v>
      </c>
      <c r="D444" s="559" t="s">
        <v>458</v>
      </c>
      <c r="E444" s="560"/>
      <c r="F444" s="560"/>
      <c r="G444" s="634"/>
      <c r="H444" s="560"/>
      <c r="I444" s="501"/>
      <c r="J444" s="501"/>
      <c r="K444" s="535"/>
      <c r="L444" s="501"/>
      <c r="M444" s="501"/>
      <c r="N444" s="501"/>
      <c r="O444" s="569"/>
      <c r="P444" s="507"/>
    </row>
    <row r="445" spans="1:16" ht="11.25" customHeight="1">
      <c r="A445" s="513"/>
      <c r="B445" s="514"/>
      <c r="C445" s="515"/>
      <c r="D445" s="468" t="s">
        <v>864</v>
      </c>
      <c r="E445" s="560"/>
      <c r="F445" s="560"/>
      <c r="G445" s="634"/>
      <c r="H445" s="560"/>
      <c r="I445" s="501">
        <v>800</v>
      </c>
      <c r="J445" s="501"/>
      <c r="K445" s="535">
        <f t="shared" si="79"/>
        <v>800</v>
      </c>
      <c r="L445" s="501"/>
      <c r="M445" s="501"/>
      <c r="N445" s="501"/>
      <c r="O445" s="569">
        <f t="shared" si="80"/>
        <v>800</v>
      </c>
      <c r="P445" s="507"/>
    </row>
    <row r="446" spans="1:16" ht="11.25" customHeight="1">
      <c r="A446" s="513"/>
      <c r="B446" s="514"/>
      <c r="C446" s="515"/>
      <c r="D446" s="468" t="s">
        <v>865</v>
      </c>
      <c r="E446" s="560"/>
      <c r="F446" s="560"/>
      <c r="G446" s="634"/>
      <c r="H446" s="560"/>
      <c r="I446" s="501">
        <v>800</v>
      </c>
      <c r="J446" s="501"/>
      <c r="K446" s="535">
        <f t="shared" si="79"/>
        <v>800</v>
      </c>
      <c r="L446" s="501"/>
      <c r="M446" s="501"/>
      <c r="N446" s="501"/>
      <c r="O446" s="569">
        <f t="shared" si="80"/>
        <v>800</v>
      </c>
      <c r="P446" s="507"/>
    </row>
    <row r="447" spans="1:16" ht="11.25" customHeight="1">
      <c r="A447" s="513"/>
      <c r="B447" s="514"/>
      <c r="C447" s="515"/>
      <c r="D447" s="468" t="s">
        <v>866</v>
      </c>
      <c r="E447" s="560"/>
      <c r="F447" s="560"/>
      <c r="G447" s="634"/>
      <c r="H447" s="560"/>
      <c r="I447" s="501">
        <v>422</v>
      </c>
      <c r="J447" s="501"/>
      <c r="K447" s="535">
        <f t="shared" si="79"/>
        <v>422</v>
      </c>
      <c r="L447" s="501"/>
      <c r="M447" s="501"/>
      <c r="N447" s="501"/>
      <c r="O447" s="569">
        <f t="shared" si="80"/>
        <v>422</v>
      </c>
      <c r="P447" s="507"/>
    </row>
    <row r="448" spans="1:16" ht="11.25" customHeight="1">
      <c r="A448" s="513"/>
      <c r="B448" s="514" t="s">
        <v>411</v>
      </c>
      <c r="C448" s="515" t="s">
        <v>631</v>
      </c>
      <c r="D448" s="559" t="s">
        <v>517</v>
      </c>
      <c r="E448" s="560"/>
      <c r="F448" s="560"/>
      <c r="G448" s="634"/>
      <c r="H448" s="560"/>
      <c r="I448" s="501"/>
      <c r="J448" s="501"/>
      <c r="K448" s="535"/>
      <c r="L448" s="501"/>
      <c r="M448" s="501"/>
      <c r="N448" s="501"/>
      <c r="O448" s="569"/>
      <c r="P448" s="507"/>
    </row>
    <row r="449" spans="1:16" ht="11.25" customHeight="1">
      <c r="A449" s="550"/>
      <c r="B449" s="508"/>
      <c r="C449" s="509"/>
      <c r="D449" s="468" t="s">
        <v>864</v>
      </c>
      <c r="E449" s="563"/>
      <c r="F449" s="563"/>
      <c r="G449" s="652"/>
      <c r="H449" s="563"/>
      <c r="I449" s="510">
        <v>4000</v>
      </c>
      <c r="J449" s="501"/>
      <c r="K449" s="535">
        <f t="shared" si="79"/>
        <v>4000</v>
      </c>
      <c r="L449" s="510"/>
      <c r="M449" s="510"/>
      <c r="N449" s="510"/>
      <c r="O449" s="569">
        <f t="shared" si="80"/>
        <v>4000</v>
      </c>
      <c r="P449" s="512"/>
    </row>
    <row r="450" spans="1:16" ht="11.25" customHeight="1">
      <c r="A450" s="513"/>
      <c r="B450" s="514"/>
      <c r="C450" s="515"/>
      <c r="D450" s="468" t="s">
        <v>865</v>
      </c>
      <c r="E450" s="560"/>
      <c r="F450" s="560"/>
      <c r="G450" s="634"/>
      <c r="H450" s="560"/>
      <c r="I450" s="501">
        <v>4000</v>
      </c>
      <c r="J450" s="501"/>
      <c r="K450" s="535">
        <f t="shared" si="79"/>
        <v>4000</v>
      </c>
      <c r="L450" s="501"/>
      <c r="M450" s="501"/>
      <c r="N450" s="501"/>
      <c r="O450" s="569">
        <f t="shared" si="80"/>
        <v>4000</v>
      </c>
      <c r="P450" s="507"/>
    </row>
    <row r="451" spans="1:16" ht="11.25" customHeight="1">
      <c r="A451" s="513"/>
      <c r="B451" s="514"/>
      <c r="C451" s="515"/>
      <c r="D451" s="468" t="s">
        <v>866</v>
      </c>
      <c r="E451" s="560"/>
      <c r="F451" s="560"/>
      <c r="G451" s="634"/>
      <c r="H451" s="560"/>
      <c r="I451" s="501">
        <v>2293</v>
      </c>
      <c r="J451" s="501"/>
      <c r="K451" s="535">
        <f t="shared" si="79"/>
        <v>2293</v>
      </c>
      <c r="L451" s="501"/>
      <c r="M451" s="501"/>
      <c r="N451" s="501"/>
      <c r="O451" s="569">
        <f t="shared" si="80"/>
        <v>2293</v>
      </c>
      <c r="P451" s="507"/>
    </row>
    <row r="452" spans="1:16" ht="11.25" customHeight="1">
      <c r="A452" s="550"/>
      <c r="B452" s="508" t="s">
        <v>412</v>
      </c>
      <c r="C452" s="509" t="s">
        <v>631</v>
      </c>
      <c r="D452" s="653" t="s">
        <v>455</v>
      </c>
      <c r="E452" s="563"/>
      <c r="F452" s="563"/>
      <c r="G452" s="652"/>
      <c r="H452" s="563"/>
      <c r="I452" s="510"/>
      <c r="J452" s="501"/>
      <c r="K452" s="535"/>
      <c r="L452" s="510"/>
      <c r="M452" s="510"/>
      <c r="N452" s="510"/>
      <c r="O452" s="569"/>
      <c r="P452" s="512"/>
    </row>
    <row r="453" spans="1:16" ht="11.25" customHeight="1">
      <c r="A453" s="513"/>
      <c r="B453" s="514"/>
      <c r="C453" s="515"/>
      <c r="D453" s="468" t="s">
        <v>864</v>
      </c>
      <c r="E453" s="560"/>
      <c r="F453" s="560"/>
      <c r="G453" s="634"/>
      <c r="H453" s="560"/>
      <c r="I453" s="501">
        <v>100</v>
      </c>
      <c r="J453" s="501"/>
      <c r="K453" s="535">
        <f t="shared" si="79"/>
        <v>100</v>
      </c>
      <c r="L453" s="501"/>
      <c r="M453" s="501"/>
      <c r="N453" s="501"/>
      <c r="O453" s="569">
        <f t="shared" si="80"/>
        <v>100</v>
      </c>
      <c r="P453" s="507"/>
    </row>
    <row r="454" spans="1:16" ht="11.25" customHeight="1">
      <c r="A454" s="513"/>
      <c r="B454" s="514"/>
      <c r="C454" s="515"/>
      <c r="D454" s="468" t="s">
        <v>865</v>
      </c>
      <c r="E454" s="560"/>
      <c r="F454" s="560"/>
      <c r="G454" s="634"/>
      <c r="H454" s="560"/>
      <c r="I454" s="501">
        <v>100</v>
      </c>
      <c r="J454" s="501"/>
      <c r="K454" s="535">
        <f t="shared" si="79"/>
        <v>100</v>
      </c>
      <c r="L454" s="501"/>
      <c r="M454" s="501"/>
      <c r="N454" s="501"/>
      <c r="O454" s="569">
        <f t="shared" si="80"/>
        <v>100</v>
      </c>
      <c r="P454" s="507"/>
    </row>
    <row r="455" spans="1:16" ht="11.25" customHeight="1" thickBot="1">
      <c r="A455" s="550"/>
      <c r="B455" s="508"/>
      <c r="C455" s="509"/>
      <c r="D455" s="461" t="s">
        <v>866</v>
      </c>
      <c r="E455" s="563"/>
      <c r="F455" s="563"/>
      <c r="G455" s="652"/>
      <c r="H455" s="563"/>
      <c r="I455" s="510">
        <v>0</v>
      </c>
      <c r="J455" s="501"/>
      <c r="K455" s="535">
        <f t="shared" si="79"/>
        <v>0</v>
      </c>
      <c r="L455" s="510"/>
      <c r="M455" s="510"/>
      <c r="N455" s="510"/>
      <c r="O455" s="569">
        <f t="shared" si="80"/>
        <v>0</v>
      </c>
      <c r="P455" s="512"/>
    </row>
    <row r="456" spans="1:16" ht="12.75" customHeight="1">
      <c r="A456" s="564" t="s">
        <v>606</v>
      </c>
      <c r="B456" s="565"/>
      <c r="C456" s="654"/>
      <c r="D456" s="567" t="s">
        <v>518</v>
      </c>
      <c r="E456" s="530"/>
      <c r="F456" s="530"/>
      <c r="G456" s="530"/>
      <c r="H456" s="530"/>
      <c r="I456" s="530"/>
      <c r="J456" s="530"/>
      <c r="K456" s="530"/>
      <c r="L456" s="530"/>
      <c r="M456" s="530"/>
      <c r="N456" s="530"/>
      <c r="O456" s="567"/>
      <c r="P456" s="531"/>
    </row>
    <row r="457" spans="1:16" ht="12.75" customHeight="1">
      <c r="A457" s="513"/>
      <c r="B457" s="514"/>
      <c r="C457" s="557"/>
      <c r="D457" s="468" t="s">
        <v>864</v>
      </c>
      <c r="E457" s="535">
        <f>E461+E465</f>
        <v>0</v>
      </c>
      <c r="F457" s="535">
        <f aca="true" t="shared" si="81" ref="F457:O457">F461+F465</f>
        <v>0</v>
      </c>
      <c r="G457" s="535">
        <f t="shared" si="81"/>
        <v>0</v>
      </c>
      <c r="H457" s="535">
        <f t="shared" si="81"/>
        <v>0</v>
      </c>
      <c r="I457" s="535">
        <f t="shared" si="81"/>
        <v>1100</v>
      </c>
      <c r="J457" s="535">
        <f t="shared" si="81"/>
        <v>0</v>
      </c>
      <c r="K457" s="535">
        <f t="shared" si="81"/>
        <v>1100</v>
      </c>
      <c r="L457" s="535">
        <f t="shared" si="81"/>
        <v>0</v>
      </c>
      <c r="M457" s="535">
        <f t="shared" si="81"/>
        <v>0</v>
      </c>
      <c r="N457" s="535">
        <f t="shared" si="81"/>
        <v>0</v>
      </c>
      <c r="O457" s="535">
        <f t="shared" si="81"/>
        <v>1100</v>
      </c>
      <c r="P457" s="507"/>
    </row>
    <row r="458" spans="1:16" ht="12.75" customHeight="1">
      <c r="A458" s="513"/>
      <c r="B458" s="514"/>
      <c r="C458" s="557"/>
      <c r="D458" s="468" t="s">
        <v>865</v>
      </c>
      <c r="E458" s="535">
        <f aca="true" t="shared" si="82" ref="E458:O459">E462+E466</f>
        <v>0</v>
      </c>
      <c r="F458" s="535">
        <f t="shared" si="82"/>
        <v>0</v>
      </c>
      <c r="G458" s="535">
        <f t="shared" si="82"/>
        <v>0</v>
      </c>
      <c r="H458" s="535">
        <f t="shared" si="82"/>
        <v>0</v>
      </c>
      <c r="I458" s="535">
        <f t="shared" si="82"/>
        <v>900</v>
      </c>
      <c r="J458" s="535">
        <f t="shared" si="82"/>
        <v>0</v>
      </c>
      <c r="K458" s="535">
        <f t="shared" si="82"/>
        <v>900</v>
      </c>
      <c r="L458" s="535">
        <f t="shared" si="82"/>
        <v>0</v>
      </c>
      <c r="M458" s="535">
        <f t="shared" si="82"/>
        <v>0</v>
      </c>
      <c r="N458" s="535">
        <f t="shared" si="82"/>
        <v>0</v>
      </c>
      <c r="O458" s="535">
        <f t="shared" si="82"/>
        <v>900</v>
      </c>
      <c r="P458" s="507"/>
    </row>
    <row r="459" spans="1:16" ht="12.75" customHeight="1">
      <c r="A459" s="513"/>
      <c r="B459" s="514"/>
      <c r="C459" s="557"/>
      <c r="D459" s="468" t="s">
        <v>866</v>
      </c>
      <c r="E459" s="535">
        <f t="shared" si="82"/>
        <v>0</v>
      </c>
      <c r="F459" s="535">
        <f t="shared" si="82"/>
        <v>0</v>
      </c>
      <c r="G459" s="535">
        <f t="shared" si="82"/>
        <v>0</v>
      </c>
      <c r="H459" s="535">
        <f t="shared" si="82"/>
        <v>0</v>
      </c>
      <c r="I459" s="535">
        <f t="shared" si="82"/>
        <v>656</v>
      </c>
      <c r="J459" s="535">
        <f t="shared" si="82"/>
        <v>0</v>
      </c>
      <c r="K459" s="535">
        <f t="shared" si="82"/>
        <v>656</v>
      </c>
      <c r="L459" s="535">
        <f t="shared" si="82"/>
        <v>0</v>
      </c>
      <c r="M459" s="535">
        <f t="shared" si="82"/>
        <v>0</v>
      </c>
      <c r="N459" s="535">
        <f t="shared" si="82"/>
        <v>0</v>
      </c>
      <c r="O459" s="535">
        <f t="shared" si="82"/>
        <v>656</v>
      </c>
      <c r="P459" s="507"/>
    </row>
    <row r="460" spans="1:16" ht="11.25" customHeight="1">
      <c r="A460" s="541"/>
      <c r="B460" s="514" t="s">
        <v>316</v>
      </c>
      <c r="C460" s="515" t="s">
        <v>631</v>
      </c>
      <c r="D460" s="559" t="s">
        <v>457</v>
      </c>
      <c r="E460" s="501"/>
      <c r="F460" s="501"/>
      <c r="G460" s="516"/>
      <c r="H460" s="501"/>
      <c r="I460" s="501"/>
      <c r="J460" s="501"/>
      <c r="K460" s="535"/>
      <c r="L460" s="501"/>
      <c r="M460" s="501"/>
      <c r="N460" s="501"/>
      <c r="O460" s="569"/>
      <c r="P460" s="507"/>
    </row>
    <row r="461" spans="1:16" ht="11.25" customHeight="1">
      <c r="A461" s="541"/>
      <c r="B461" s="514"/>
      <c r="C461" s="515"/>
      <c r="D461" s="468" t="s">
        <v>864</v>
      </c>
      <c r="E461" s="501"/>
      <c r="F461" s="501"/>
      <c r="G461" s="516"/>
      <c r="H461" s="501"/>
      <c r="I461" s="501">
        <v>700</v>
      </c>
      <c r="J461" s="501"/>
      <c r="K461" s="535">
        <f>SUM(E461:J461)</f>
        <v>700</v>
      </c>
      <c r="L461" s="501"/>
      <c r="M461" s="501"/>
      <c r="N461" s="501"/>
      <c r="O461" s="569">
        <f>SUM(K461:N461)</f>
        <v>700</v>
      </c>
      <c r="P461" s="507"/>
    </row>
    <row r="462" spans="1:16" ht="11.25" customHeight="1">
      <c r="A462" s="541"/>
      <c r="B462" s="514"/>
      <c r="C462" s="515"/>
      <c r="D462" s="468" t="s">
        <v>865</v>
      </c>
      <c r="E462" s="501"/>
      <c r="F462" s="501"/>
      <c r="G462" s="516"/>
      <c r="H462" s="501"/>
      <c r="I462" s="501">
        <v>626</v>
      </c>
      <c r="J462" s="501"/>
      <c r="K462" s="535">
        <f aca="true" t="shared" si="83" ref="K462:K467">SUM(E462:J462)</f>
        <v>626</v>
      </c>
      <c r="L462" s="501"/>
      <c r="M462" s="501"/>
      <c r="N462" s="501"/>
      <c r="O462" s="569">
        <f aca="true" t="shared" si="84" ref="O462:O467">SUM(K462:N462)</f>
        <v>626</v>
      </c>
      <c r="P462" s="507"/>
    </row>
    <row r="463" spans="1:16" ht="11.25" customHeight="1">
      <c r="A463" s="541"/>
      <c r="B463" s="514"/>
      <c r="C463" s="515"/>
      <c r="D463" s="468" t="s">
        <v>866</v>
      </c>
      <c r="E463" s="501"/>
      <c r="F463" s="501"/>
      <c r="G463" s="516"/>
      <c r="H463" s="501"/>
      <c r="I463" s="501">
        <v>383</v>
      </c>
      <c r="J463" s="501"/>
      <c r="K463" s="535">
        <f t="shared" si="83"/>
        <v>383</v>
      </c>
      <c r="L463" s="501"/>
      <c r="M463" s="501"/>
      <c r="N463" s="501"/>
      <c r="O463" s="569">
        <f t="shared" si="84"/>
        <v>383</v>
      </c>
      <c r="P463" s="507"/>
    </row>
    <row r="464" spans="1:16" ht="11.25" customHeight="1">
      <c r="A464" s="541"/>
      <c r="B464" s="514" t="s">
        <v>318</v>
      </c>
      <c r="C464" s="515" t="s">
        <v>631</v>
      </c>
      <c r="D464" s="559" t="s">
        <v>459</v>
      </c>
      <c r="E464" s="501"/>
      <c r="F464" s="501"/>
      <c r="G464" s="516"/>
      <c r="H464" s="501"/>
      <c r="I464" s="501"/>
      <c r="J464" s="501"/>
      <c r="K464" s="535"/>
      <c r="L464" s="501"/>
      <c r="M464" s="501"/>
      <c r="N464" s="501"/>
      <c r="O464" s="569"/>
      <c r="P464" s="507"/>
    </row>
    <row r="465" spans="1:16" ht="11.25" customHeight="1">
      <c r="A465" s="541"/>
      <c r="B465" s="514"/>
      <c r="C465" s="515"/>
      <c r="D465" s="468" t="s">
        <v>864</v>
      </c>
      <c r="E465" s="501"/>
      <c r="F465" s="501"/>
      <c r="G465" s="516"/>
      <c r="H465" s="501"/>
      <c r="I465" s="501">
        <v>400</v>
      </c>
      <c r="J465" s="501"/>
      <c r="K465" s="535">
        <f t="shared" si="83"/>
        <v>400</v>
      </c>
      <c r="L465" s="501"/>
      <c r="M465" s="501"/>
      <c r="N465" s="501"/>
      <c r="O465" s="569">
        <f t="shared" si="84"/>
        <v>400</v>
      </c>
      <c r="P465" s="507"/>
    </row>
    <row r="466" spans="1:16" ht="11.25" customHeight="1">
      <c r="A466" s="541"/>
      <c r="B466" s="514"/>
      <c r="C466" s="515"/>
      <c r="D466" s="468" t="s">
        <v>865</v>
      </c>
      <c r="E466" s="501"/>
      <c r="F466" s="501"/>
      <c r="G466" s="516"/>
      <c r="H466" s="501"/>
      <c r="I466" s="501">
        <v>274</v>
      </c>
      <c r="J466" s="501"/>
      <c r="K466" s="535">
        <f t="shared" si="83"/>
        <v>274</v>
      </c>
      <c r="L466" s="501"/>
      <c r="M466" s="501"/>
      <c r="N466" s="501"/>
      <c r="O466" s="569">
        <f t="shared" si="84"/>
        <v>274</v>
      </c>
      <c r="P466" s="507"/>
    </row>
    <row r="467" spans="1:16" ht="11.25" customHeight="1" thickBot="1">
      <c r="A467" s="542"/>
      <c r="B467" s="543"/>
      <c r="C467" s="572"/>
      <c r="D467" s="573" t="s">
        <v>866</v>
      </c>
      <c r="E467" s="574"/>
      <c r="F467" s="574"/>
      <c r="G467" s="621"/>
      <c r="H467" s="574"/>
      <c r="I467" s="574">
        <v>273</v>
      </c>
      <c r="J467" s="574"/>
      <c r="K467" s="575">
        <f t="shared" si="83"/>
        <v>273</v>
      </c>
      <c r="L467" s="574"/>
      <c r="M467" s="574"/>
      <c r="N467" s="574"/>
      <c r="O467" s="601">
        <f t="shared" si="84"/>
        <v>273</v>
      </c>
      <c r="P467" s="576"/>
    </row>
    <row r="468" spans="1:16" ht="12.75" customHeight="1">
      <c r="A468" s="602" t="s">
        <v>607</v>
      </c>
      <c r="B468" s="590"/>
      <c r="C468" s="618"/>
      <c r="D468" s="591" t="s">
        <v>519</v>
      </c>
      <c r="E468" s="540"/>
      <c r="F468" s="540"/>
      <c r="G468" s="540"/>
      <c r="H468" s="540"/>
      <c r="I468" s="540"/>
      <c r="J468" s="540"/>
      <c r="K468" s="540"/>
      <c r="L468" s="540"/>
      <c r="M468" s="540"/>
      <c r="N468" s="540"/>
      <c r="O468" s="591"/>
      <c r="P468" s="604"/>
    </row>
    <row r="469" spans="1:16" ht="12.75" customHeight="1">
      <c r="A469" s="496"/>
      <c r="B469" s="503"/>
      <c r="C469" s="651"/>
      <c r="D469" s="468" t="s">
        <v>864</v>
      </c>
      <c r="E469" s="616">
        <f>E473+E477+E481+E485+E489+E493+E497</f>
        <v>1320</v>
      </c>
      <c r="F469" s="616">
        <f aca="true" t="shared" si="85" ref="F469:O469">F473+F477+F481+F485+F489+F493+F497</f>
        <v>330</v>
      </c>
      <c r="G469" s="616">
        <f t="shared" si="85"/>
        <v>400</v>
      </c>
      <c r="H469" s="616">
        <f t="shared" si="85"/>
        <v>0</v>
      </c>
      <c r="I469" s="616">
        <f t="shared" si="85"/>
        <v>13803</v>
      </c>
      <c r="J469" s="616">
        <f t="shared" si="85"/>
        <v>0</v>
      </c>
      <c r="K469" s="616">
        <f t="shared" si="85"/>
        <v>15853</v>
      </c>
      <c r="L469" s="616">
        <f t="shared" si="85"/>
        <v>0</v>
      </c>
      <c r="M469" s="616">
        <f t="shared" si="85"/>
        <v>3529</v>
      </c>
      <c r="N469" s="616">
        <f t="shared" si="85"/>
        <v>0</v>
      </c>
      <c r="O469" s="616">
        <f t="shared" si="85"/>
        <v>19382</v>
      </c>
      <c r="P469" s="506"/>
    </row>
    <row r="470" spans="1:16" ht="12.75" customHeight="1">
      <c r="A470" s="496"/>
      <c r="B470" s="503"/>
      <c r="C470" s="651"/>
      <c r="D470" s="468" t="s">
        <v>865</v>
      </c>
      <c r="E470" s="616">
        <f aca="true" t="shared" si="86" ref="E470:O470">E474+E478+E482+E486+E490+E494+E498+E502</f>
        <v>3354</v>
      </c>
      <c r="F470" s="616">
        <f t="shared" si="86"/>
        <v>888</v>
      </c>
      <c r="G470" s="616">
        <f t="shared" si="86"/>
        <v>430</v>
      </c>
      <c r="H470" s="616">
        <f t="shared" si="86"/>
        <v>0</v>
      </c>
      <c r="I470" s="616">
        <f t="shared" si="86"/>
        <v>14610</v>
      </c>
      <c r="J470" s="616">
        <f t="shared" si="86"/>
        <v>0</v>
      </c>
      <c r="K470" s="616">
        <f t="shared" si="86"/>
        <v>19282</v>
      </c>
      <c r="L470" s="616">
        <f t="shared" si="86"/>
        <v>2200</v>
      </c>
      <c r="M470" s="616">
        <f t="shared" si="86"/>
        <v>3529</v>
      </c>
      <c r="N470" s="616">
        <f t="shared" si="86"/>
        <v>0</v>
      </c>
      <c r="O470" s="616">
        <f t="shared" si="86"/>
        <v>25011</v>
      </c>
      <c r="P470" s="506"/>
    </row>
    <row r="471" spans="1:16" ht="12.75" customHeight="1">
      <c r="A471" s="496"/>
      <c r="B471" s="503"/>
      <c r="C471" s="651"/>
      <c r="D471" s="468" t="s">
        <v>866</v>
      </c>
      <c r="E471" s="616">
        <f>E475+E479+E483+E487+E491+E495+E499+E503</f>
        <v>3163</v>
      </c>
      <c r="F471" s="616">
        <f aca="true" t="shared" si="87" ref="F471:O471">F475+F479+F483+F487+F491+F495+F499+F503</f>
        <v>825</v>
      </c>
      <c r="G471" s="616">
        <f>G475+G479+G483+G487+G491+G495+G499+G503</f>
        <v>413</v>
      </c>
      <c r="H471" s="616">
        <f t="shared" si="87"/>
        <v>0</v>
      </c>
      <c r="I471" s="616">
        <f t="shared" si="87"/>
        <v>13046</v>
      </c>
      <c r="J471" s="616">
        <f t="shared" si="87"/>
        <v>0</v>
      </c>
      <c r="K471" s="616">
        <f t="shared" si="87"/>
        <v>17447</v>
      </c>
      <c r="L471" s="616">
        <f t="shared" si="87"/>
        <v>2184</v>
      </c>
      <c r="M471" s="616">
        <f t="shared" si="87"/>
        <v>0</v>
      </c>
      <c r="N471" s="616">
        <f t="shared" si="87"/>
        <v>0</v>
      </c>
      <c r="O471" s="616">
        <f t="shared" si="87"/>
        <v>19631</v>
      </c>
      <c r="P471" s="506"/>
    </row>
    <row r="472" spans="1:16" ht="11.25" customHeight="1">
      <c r="A472" s="513"/>
      <c r="B472" s="514" t="s">
        <v>316</v>
      </c>
      <c r="C472" s="515" t="s">
        <v>631</v>
      </c>
      <c r="D472" s="559" t="s">
        <v>463</v>
      </c>
      <c r="E472" s="501"/>
      <c r="F472" s="501"/>
      <c r="G472" s="516"/>
      <c r="H472" s="501"/>
      <c r="I472" s="501"/>
      <c r="J472" s="501"/>
      <c r="K472" s="616"/>
      <c r="L472" s="501"/>
      <c r="M472" s="501"/>
      <c r="N472" s="501"/>
      <c r="O472" s="505"/>
      <c r="P472" s="507"/>
    </row>
    <row r="473" spans="1:16" ht="11.25" customHeight="1">
      <c r="A473" s="513"/>
      <c r="B473" s="514"/>
      <c r="C473" s="515"/>
      <c r="D473" s="468" t="s">
        <v>864</v>
      </c>
      <c r="E473" s="501"/>
      <c r="F473" s="501"/>
      <c r="G473" s="516"/>
      <c r="H473" s="501"/>
      <c r="I473" s="501">
        <v>4000</v>
      </c>
      <c r="J473" s="501"/>
      <c r="K473" s="616">
        <f>SUM(E473:J473)</f>
        <v>4000</v>
      </c>
      <c r="L473" s="501"/>
      <c r="M473" s="501"/>
      <c r="N473" s="501"/>
      <c r="O473" s="505">
        <f>SUM(K473:N473)</f>
        <v>4000</v>
      </c>
      <c r="P473" s="507"/>
    </row>
    <row r="474" spans="1:16" ht="11.25" customHeight="1">
      <c r="A474" s="513"/>
      <c r="B474" s="514"/>
      <c r="C474" s="515"/>
      <c r="D474" s="468" t="s">
        <v>865</v>
      </c>
      <c r="E474" s="501"/>
      <c r="F474" s="501"/>
      <c r="G474" s="516"/>
      <c r="H474" s="501"/>
      <c r="I474" s="501">
        <v>4000</v>
      </c>
      <c r="J474" s="501"/>
      <c r="K474" s="616">
        <f aca="true" t="shared" si="88" ref="K474:K499">SUM(E474:J474)</f>
        <v>4000</v>
      </c>
      <c r="L474" s="501"/>
      <c r="M474" s="501"/>
      <c r="N474" s="501"/>
      <c r="O474" s="505">
        <f aca="true" t="shared" si="89" ref="O474:O499">SUM(K474:N474)</f>
        <v>4000</v>
      </c>
      <c r="P474" s="507"/>
    </row>
    <row r="475" spans="1:16" ht="11.25" customHeight="1">
      <c r="A475" s="513"/>
      <c r="B475" s="514"/>
      <c r="C475" s="515"/>
      <c r="D475" s="468" t="s">
        <v>866</v>
      </c>
      <c r="E475" s="501"/>
      <c r="F475" s="501"/>
      <c r="G475" s="516"/>
      <c r="H475" s="501"/>
      <c r="I475" s="501">
        <v>3420</v>
      </c>
      <c r="J475" s="501"/>
      <c r="K475" s="616">
        <f t="shared" si="88"/>
        <v>3420</v>
      </c>
      <c r="L475" s="501"/>
      <c r="M475" s="501"/>
      <c r="N475" s="501"/>
      <c r="O475" s="505">
        <f t="shared" si="89"/>
        <v>3420</v>
      </c>
      <c r="P475" s="507"/>
    </row>
    <row r="476" spans="1:16" ht="11.25" customHeight="1">
      <c r="A476" s="513"/>
      <c r="B476" s="514" t="s">
        <v>318</v>
      </c>
      <c r="C476" s="515" t="s">
        <v>631</v>
      </c>
      <c r="D476" s="559" t="s">
        <v>300</v>
      </c>
      <c r="E476" s="501"/>
      <c r="F476" s="501"/>
      <c r="G476" s="516"/>
      <c r="H476" s="501"/>
      <c r="I476" s="501"/>
      <c r="J476" s="501"/>
      <c r="K476" s="616"/>
      <c r="L476" s="501"/>
      <c r="M476" s="516"/>
      <c r="N476" s="516"/>
      <c r="O476" s="505"/>
      <c r="P476" s="507"/>
    </row>
    <row r="477" spans="1:16" ht="11.25" customHeight="1">
      <c r="A477" s="513"/>
      <c r="B477" s="514"/>
      <c r="C477" s="515"/>
      <c r="D477" s="468" t="s">
        <v>864</v>
      </c>
      <c r="E477" s="501"/>
      <c r="F477" s="501"/>
      <c r="G477" s="516"/>
      <c r="H477" s="501"/>
      <c r="I477" s="501">
        <v>3500</v>
      </c>
      <c r="J477" s="501"/>
      <c r="K477" s="616">
        <f t="shared" si="88"/>
        <v>3500</v>
      </c>
      <c r="L477" s="501"/>
      <c r="M477" s="516"/>
      <c r="N477" s="516"/>
      <c r="O477" s="505">
        <f t="shared" si="89"/>
        <v>3500</v>
      </c>
      <c r="P477" s="507"/>
    </row>
    <row r="478" spans="1:16" ht="11.25" customHeight="1">
      <c r="A478" s="513"/>
      <c r="B478" s="514"/>
      <c r="C478" s="515"/>
      <c r="D478" s="468" t="s">
        <v>865</v>
      </c>
      <c r="E478" s="501"/>
      <c r="F478" s="501"/>
      <c r="G478" s="516"/>
      <c r="H478" s="501"/>
      <c r="I478" s="501">
        <v>3822</v>
      </c>
      <c r="J478" s="501"/>
      <c r="K478" s="616">
        <f t="shared" si="88"/>
        <v>3822</v>
      </c>
      <c r="L478" s="501"/>
      <c r="M478" s="516"/>
      <c r="N478" s="516"/>
      <c r="O478" s="505">
        <f t="shared" si="89"/>
        <v>3822</v>
      </c>
      <c r="P478" s="507"/>
    </row>
    <row r="479" spans="1:16" ht="11.25" customHeight="1">
      <c r="A479" s="513"/>
      <c r="B479" s="514"/>
      <c r="C479" s="515"/>
      <c r="D479" s="468" t="s">
        <v>866</v>
      </c>
      <c r="E479" s="501"/>
      <c r="F479" s="501"/>
      <c r="G479" s="516"/>
      <c r="H479" s="501"/>
      <c r="I479" s="501">
        <v>3821</v>
      </c>
      <c r="J479" s="501"/>
      <c r="K479" s="616">
        <f t="shared" si="88"/>
        <v>3821</v>
      </c>
      <c r="L479" s="501"/>
      <c r="M479" s="516"/>
      <c r="N479" s="516"/>
      <c r="O479" s="505">
        <f t="shared" si="89"/>
        <v>3821</v>
      </c>
      <c r="P479" s="507"/>
    </row>
    <row r="480" spans="1:16" ht="12.75" customHeight="1">
      <c r="A480" s="513"/>
      <c r="B480" s="514" t="s">
        <v>319</v>
      </c>
      <c r="C480" s="515" t="s">
        <v>631</v>
      </c>
      <c r="D480" s="1935" t="s">
        <v>568</v>
      </c>
      <c r="E480" s="1936"/>
      <c r="F480" s="1936"/>
      <c r="G480" s="1936"/>
      <c r="H480" s="1937"/>
      <c r="I480" s="501"/>
      <c r="J480" s="501"/>
      <c r="K480" s="616"/>
      <c r="L480" s="501"/>
      <c r="M480" s="516"/>
      <c r="N480" s="516"/>
      <c r="O480" s="505"/>
      <c r="P480" s="507"/>
    </row>
    <row r="481" spans="1:16" ht="12" customHeight="1">
      <c r="A481" s="513"/>
      <c r="B481" s="514"/>
      <c r="C481" s="515"/>
      <c r="D481" s="468" t="s">
        <v>864</v>
      </c>
      <c r="E481" s="501"/>
      <c r="F481" s="501"/>
      <c r="G481" s="516"/>
      <c r="H481" s="501"/>
      <c r="I481" s="501">
        <v>500</v>
      </c>
      <c r="J481" s="501"/>
      <c r="K481" s="616">
        <f t="shared" si="88"/>
        <v>500</v>
      </c>
      <c r="L481" s="501"/>
      <c r="M481" s="516"/>
      <c r="N481" s="516"/>
      <c r="O481" s="505">
        <f t="shared" si="89"/>
        <v>500</v>
      </c>
      <c r="P481" s="507"/>
    </row>
    <row r="482" spans="1:16" ht="12" customHeight="1">
      <c r="A482" s="513"/>
      <c r="B482" s="514"/>
      <c r="C482" s="515"/>
      <c r="D482" s="468" t="s">
        <v>865</v>
      </c>
      <c r="E482" s="501"/>
      <c r="F482" s="501"/>
      <c r="G482" s="516"/>
      <c r="H482" s="501"/>
      <c r="I482" s="501">
        <v>500</v>
      </c>
      <c r="J482" s="501"/>
      <c r="K482" s="616">
        <f t="shared" si="88"/>
        <v>500</v>
      </c>
      <c r="L482" s="501"/>
      <c r="M482" s="516"/>
      <c r="N482" s="516"/>
      <c r="O482" s="505">
        <f t="shared" si="89"/>
        <v>500</v>
      </c>
      <c r="P482" s="507"/>
    </row>
    <row r="483" spans="1:16" ht="12" customHeight="1">
      <c r="A483" s="513"/>
      <c r="B483" s="514"/>
      <c r="C483" s="515"/>
      <c r="D483" s="468" t="s">
        <v>866</v>
      </c>
      <c r="E483" s="501"/>
      <c r="F483" s="501"/>
      <c r="G483" s="516"/>
      <c r="H483" s="501"/>
      <c r="I483" s="501">
        <v>0</v>
      </c>
      <c r="J483" s="501"/>
      <c r="K483" s="616">
        <f t="shared" si="88"/>
        <v>0</v>
      </c>
      <c r="L483" s="501"/>
      <c r="M483" s="516"/>
      <c r="N483" s="516"/>
      <c r="O483" s="505">
        <f t="shared" si="89"/>
        <v>0</v>
      </c>
      <c r="P483" s="507"/>
    </row>
    <row r="484" spans="1:16" ht="11.25" customHeight="1">
      <c r="A484" s="513"/>
      <c r="B484" s="514" t="s">
        <v>321</v>
      </c>
      <c r="C484" s="515" t="s">
        <v>632</v>
      </c>
      <c r="D484" s="559" t="s">
        <v>520</v>
      </c>
      <c r="E484" s="501"/>
      <c r="F484" s="501"/>
      <c r="G484" s="516"/>
      <c r="H484" s="501"/>
      <c r="I484" s="501"/>
      <c r="J484" s="501"/>
      <c r="K484" s="616"/>
      <c r="L484" s="501"/>
      <c r="M484" s="516"/>
      <c r="N484" s="516"/>
      <c r="O484" s="505"/>
      <c r="P484" s="507"/>
    </row>
    <row r="485" spans="1:16" ht="11.25" customHeight="1">
      <c r="A485" s="513"/>
      <c r="B485" s="514"/>
      <c r="C485" s="515"/>
      <c r="D485" s="468" t="s">
        <v>864</v>
      </c>
      <c r="E485" s="501"/>
      <c r="F485" s="501"/>
      <c r="G485" s="516"/>
      <c r="H485" s="501"/>
      <c r="I485" s="501"/>
      <c r="J485" s="501"/>
      <c r="K485" s="616">
        <f t="shared" si="88"/>
        <v>0</v>
      </c>
      <c r="L485" s="501"/>
      <c r="M485" s="516">
        <v>3529</v>
      </c>
      <c r="N485" s="516"/>
      <c r="O485" s="505">
        <f t="shared" si="89"/>
        <v>3529</v>
      </c>
      <c r="P485" s="507"/>
    </row>
    <row r="486" spans="1:16" ht="11.25" customHeight="1">
      <c r="A486" s="513"/>
      <c r="B486" s="514"/>
      <c r="C486" s="515"/>
      <c r="D486" s="468" t="s">
        <v>865</v>
      </c>
      <c r="E486" s="501"/>
      <c r="F486" s="501"/>
      <c r="G486" s="516"/>
      <c r="H486" s="501"/>
      <c r="I486" s="501"/>
      <c r="J486" s="501"/>
      <c r="K486" s="616">
        <f t="shared" si="88"/>
        <v>0</v>
      </c>
      <c r="L486" s="501"/>
      <c r="M486" s="516">
        <v>3529</v>
      </c>
      <c r="N486" s="516"/>
      <c r="O486" s="505">
        <f t="shared" si="89"/>
        <v>3529</v>
      </c>
      <c r="P486" s="507"/>
    </row>
    <row r="487" spans="1:16" ht="11.25" customHeight="1">
      <c r="A487" s="513"/>
      <c r="B487" s="514"/>
      <c r="C487" s="515"/>
      <c r="D487" s="468" t="s">
        <v>866</v>
      </c>
      <c r="E487" s="501"/>
      <c r="F487" s="501"/>
      <c r="G487" s="516"/>
      <c r="H487" s="501"/>
      <c r="I487" s="501">
        <v>0</v>
      </c>
      <c r="J487" s="501"/>
      <c r="K487" s="616">
        <f t="shared" si="88"/>
        <v>0</v>
      </c>
      <c r="L487" s="501"/>
      <c r="M487" s="516">
        <v>0</v>
      </c>
      <c r="N487" s="516"/>
      <c r="O487" s="505">
        <f t="shared" si="89"/>
        <v>0</v>
      </c>
      <c r="P487" s="507"/>
    </row>
    <row r="488" spans="1:16" ht="11.25" customHeight="1">
      <c r="A488" s="513"/>
      <c r="B488" s="514" t="s">
        <v>322</v>
      </c>
      <c r="C488" s="515" t="s">
        <v>631</v>
      </c>
      <c r="D488" s="559" t="s">
        <v>569</v>
      </c>
      <c r="E488" s="501"/>
      <c r="F488" s="501"/>
      <c r="G488" s="516"/>
      <c r="H488" s="501"/>
      <c r="I488" s="501"/>
      <c r="J488" s="501"/>
      <c r="K488" s="616"/>
      <c r="L488" s="501"/>
      <c r="M488" s="516"/>
      <c r="N488" s="516"/>
      <c r="O488" s="505"/>
      <c r="P488" s="507"/>
    </row>
    <row r="489" spans="1:16" ht="11.25" customHeight="1">
      <c r="A489" s="513"/>
      <c r="B489" s="514"/>
      <c r="C489" s="515"/>
      <c r="D489" s="468" t="s">
        <v>864</v>
      </c>
      <c r="E489" s="501">
        <v>1320</v>
      </c>
      <c r="F489" s="501">
        <v>330</v>
      </c>
      <c r="G489" s="516">
        <v>400</v>
      </c>
      <c r="H489" s="501"/>
      <c r="I489" s="501"/>
      <c r="J489" s="501"/>
      <c r="K489" s="616">
        <f t="shared" si="88"/>
        <v>2050</v>
      </c>
      <c r="L489" s="501"/>
      <c r="M489" s="516"/>
      <c r="N489" s="516"/>
      <c r="O489" s="505">
        <f t="shared" si="89"/>
        <v>2050</v>
      </c>
      <c r="P489" s="507"/>
    </row>
    <row r="490" spans="1:16" ht="11.25" customHeight="1">
      <c r="A490" s="513"/>
      <c r="B490" s="514"/>
      <c r="C490" s="515"/>
      <c r="D490" s="468" t="s">
        <v>865</v>
      </c>
      <c r="E490" s="501">
        <v>1290</v>
      </c>
      <c r="F490" s="501">
        <v>330</v>
      </c>
      <c r="G490" s="516">
        <v>430</v>
      </c>
      <c r="H490" s="501"/>
      <c r="I490" s="501"/>
      <c r="J490" s="501"/>
      <c r="K490" s="616">
        <f t="shared" si="88"/>
        <v>2050</v>
      </c>
      <c r="L490" s="501"/>
      <c r="M490" s="516"/>
      <c r="N490" s="516"/>
      <c r="O490" s="505">
        <f t="shared" si="89"/>
        <v>2050</v>
      </c>
      <c r="P490" s="507"/>
    </row>
    <row r="491" spans="1:16" ht="11.25" customHeight="1">
      <c r="A491" s="513"/>
      <c r="B491" s="514"/>
      <c r="C491" s="515"/>
      <c r="D491" s="468" t="s">
        <v>866</v>
      </c>
      <c r="E491" s="501">
        <v>1099</v>
      </c>
      <c r="F491" s="501">
        <v>267</v>
      </c>
      <c r="G491" s="516">
        <f>404+9</f>
        <v>413</v>
      </c>
      <c r="H491" s="501"/>
      <c r="I491" s="501"/>
      <c r="J491" s="501"/>
      <c r="K491" s="616">
        <f t="shared" si="88"/>
        <v>1779</v>
      </c>
      <c r="L491" s="501"/>
      <c r="M491" s="516"/>
      <c r="N491" s="516"/>
      <c r="O491" s="505">
        <f t="shared" si="89"/>
        <v>1779</v>
      </c>
      <c r="P491" s="507"/>
    </row>
    <row r="492" spans="1:16" ht="13.5" customHeight="1">
      <c r="A492" s="513"/>
      <c r="B492" s="514" t="s">
        <v>323</v>
      </c>
      <c r="C492" s="515" t="s">
        <v>631</v>
      </c>
      <c r="D492" s="1942" t="s">
        <v>694</v>
      </c>
      <c r="E492" s="1967"/>
      <c r="F492" s="1967"/>
      <c r="G492" s="1968"/>
      <c r="H492" s="501"/>
      <c r="I492" s="501"/>
      <c r="J492" s="501"/>
      <c r="K492" s="616"/>
      <c r="L492" s="501"/>
      <c r="M492" s="516"/>
      <c r="N492" s="516"/>
      <c r="O492" s="505"/>
      <c r="P492" s="507"/>
    </row>
    <row r="493" spans="1:16" ht="12.75" customHeight="1">
      <c r="A493" s="513"/>
      <c r="B493" s="514"/>
      <c r="C493" s="515"/>
      <c r="D493" s="468" t="s">
        <v>864</v>
      </c>
      <c r="E493" s="501"/>
      <c r="F493" s="501"/>
      <c r="G493" s="516"/>
      <c r="H493" s="501"/>
      <c r="I493" s="501">
        <v>5803</v>
      </c>
      <c r="J493" s="501"/>
      <c r="K493" s="616">
        <f t="shared" si="88"/>
        <v>5803</v>
      </c>
      <c r="L493" s="501"/>
      <c r="M493" s="516"/>
      <c r="N493" s="516"/>
      <c r="O493" s="505">
        <f t="shared" si="89"/>
        <v>5803</v>
      </c>
      <c r="P493" s="507"/>
    </row>
    <row r="494" spans="1:16" ht="12.75" customHeight="1">
      <c r="A494" s="513"/>
      <c r="B494" s="514"/>
      <c r="C494" s="515"/>
      <c r="D494" s="468" t="s">
        <v>865</v>
      </c>
      <c r="E494" s="501"/>
      <c r="F494" s="501"/>
      <c r="G494" s="516"/>
      <c r="H494" s="501"/>
      <c r="I494" s="501">
        <v>6288</v>
      </c>
      <c r="J494" s="501"/>
      <c r="K494" s="616">
        <f t="shared" si="88"/>
        <v>6288</v>
      </c>
      <c r="L494" s="501"/>
      <c r="M494" s="516"/>
      <c r="N494" s="516"/>
      <c r="O494" s="505">
        <f t="shared" si="89"/>
        <v>6288</v>
      </c>
      <c r="P494" s="507"/>
    </row>
    <row r="495" spans="1:16" ht="12.75" customHeight="1">
      <c r="A495" s="513"/>
      <c r="B495" s="514"/>
      <c r="C495" s="515"/>
      <c r="D495" s="468" t="s">
        <v>866</v>
      </c>
      <c r="E495" s="501"/>
      <c r="F495" s="501"/>
      <c r="G495" s="516"/>
      <c r="H495" s="501"/>
      <c r="I495" s="501">
        <v>5805</v>
      </c>
      <c r="J495" s="501"/>
      <c r="K495" s="616">
        <f t="shared" si="88"/>
        <v>5805</v>
      </c>
      <c r="L495" s="501"/>
      <c r="M495" s="516"/>
      <c r="N495" s="516"/>
      <c r="O495" s="505">
        <f t="shared" si="89"/>
        <v>5805</v>
      </c>
      <c r="P495" s="507"/>
    </row>
    <row r="496" spans="1:16" ht="27" customHeight="1">
      <c r="A496" s="513"/>
      <c r="B496" s="514" t="s">
        <v>324</v>
      </c>
      <c r="C496" s="515" t="s">
        <v>632</v>
      </c>
      <c r="D496" s="1935" t="s">
        <v>854</v>
      </c>
      <c r="E496" s="1936"/>
      <c r="F496" s="1937"/>
      <c r="G496" s="516"/>
      <c r="H496" s="501"/>
      <c r="I496" s="501"/>
      <c r="J496" s="501"/>
      <c r="K496" s="616"/>
      <c r="L496" s="501"/>
      <c r="M496" s="516"/>
      <c r="N496" s="516"/>
      <c r="O496" s="505"/>
      <c r="P496" s="507"/>
    </row>
    <row r="497" spans="1:16" ht="12.75" customHeight="1">
      <c r="A497" s="513"/>
      <c r="B497" s="514"/>
      <c r="C497" s="515"/>
      <c r="D497" s="468" t="s">
        <v>864</v>
      </c>
      <c r="E497" s="501"/>
      <c r="F497" s="501"/>
      <c r="G497" s="516"/>
      <c r="H497" s="501"/>
      <c r="I497" s="501"/>
      <c r="J497" s="501"/>
      <c r="K497" s="616">
        <f t="shared" si="88"/>
        <v>0</v>
      </c>
      <c r="L497" s="501">
        <v>0</v>
      </c>
      <c r="M497" s="516"/>
      <c r="N497" s="516"/>
      <c r="O497" s="505">
        <f t="shared" si="89"/>
        <v>0</v>
      </c>
      <c r="P497" s="507"/>
    </row>
    <row r="498" spans="1:16" ht="12.75" customHeight="1">
      <c r="A498" s="513"/>
      <c r="B498" s="514"/>
      <c r="C498" s="515"/>
      <c r="D498" s="468" t="s">
        <v>865</v>
      </c>
      <c r="E498" s="501"/>
      <c r="F498" s="501"/>
      <c r="G498" s="516"/>
      <c r="H498" s="501"/>
      <c r="I498" s="501"/>
      <c r="J498" s="501"/>
      <c r="K498" s="616">
        <f t="shared" si="88"/>
        <v>0</v>
      </c>
      <c r="L498" s="501">
        <v>2200</v>
      </c>
      <c r="M498" s="516"/>
      <c r="N498" s="516"/>
      <c r="O498" s="505">
        <f t="shared" si="89"/>
        <v>2200</v>
      </c>
      <c r="P498" s="507"/>
    </row>
    <row r="499" spans="1:16" ht="12.75" customHeight="1">
      <c r="A499" s="609"/>
      <c r="B499" s="518"/>
      <c r="C499" s="611"/>
      <c r="D499" s="426" t="s">
        <v>866</v>
      </c>
      <c r="E499" s="521"/>
      <c r="F499" s="521"/>
      <c r="G499" s="613"/>
      <c r="H499" s="521"/>
      <c r="I499" s="521"/>
      <c r="J499" s="521"/>
      <c r="K499" s="614">
        <f t="shared" si="88"/>
        <v>0</v>
      </c>
      <c r="L499" s="521">
        <v>2184</v>
      </c>
      <c r="M499" s="613"/>
      <c r="N499" s="613"/>
      <c r="O499" s="615">
        <f t="shared" si="89"/>
        <v>2184</v>
      </c>
      <c r="P499" s="608"/>
    </row>
    <row r="500" spans="1:16" ht="29.25" customHeight="1">
      <c r="A500" s="513"/>
      <c r="B500" s="514" t="s">
        <v>325</v>
      </c>
      <c r="C500" s="515" t="s">
        <v>631</v>
      </c>
      <c r="D500" s="579" t="s">
        <v>799</v>
      </c>
      <c r="E500" s="501"/>
      <c r="F500" s="501"/>
      <c r="G500" s="516"/>
      <c r="H500" s="501"/>
      <c r="I500" s="501"/>
      <c r="J500" s="501"/>
      <c r="K500" s="535"/>
      <c r="L500" s="501"/>
      <c r="M500" s="516"/>
      <c r="N500" s="516"/>
      <c r="O500" s="569"/>
      <c r="P500" s="507"/>
    </row>
    <row r="501" spans="1:16" ht="12.75" customHeight="1">
      <c r="A501" s="513"/>
      <c r="B501" s="514"/>
      <c r="C501" s="515"/>
      <c r="D501" s="468" t="s">
        <v>864</v>
      </c>
      <c r="E501" s="501"/>
      <c r="F501" s="501"/>
      <c r="G501" s="516"/>
      <c r="H501" s="501"/>
      <c r="I501" s="501"/>
      <c r="J501" s="501"/>
      <c r="K501" s="535"/>
      <c r="L501" s="501"/>
      <c r="M501" s="516"/>
      <c r="N501" s="516"/>
      <c r="O501" s="569"/>
      <c r="P501" s="507"/>
    </row>
    <row r="502" spans="1:16" ht="12.75" customHeight="1">
      <c r="A502" s="513"/>
      <c r="B502" s="514"/>
      <c r="C502" s="515"/>
      <c r="D502" s="468" t="s">
        <v>865</v>
      </c>
      <c r="E502" s="501">
        <v>2064</v>
      </c>
      <c r="F502" s="501">
        <v>558</v>
      </c>
      <c r="G502" s="516"/>
      <c r="H502" s="501"/>
      <c r="I502" s="501"/>
      <c r="J502" s="501"/>
      <c r="K502" s="535">
        <f>SUM(E502:J502)</f>
        <v>2622</v>
      </c>
      <c r="L502" s="501"/>
      <c r="M502" s="516"/>
      <c r="N502" s="516"/>
      <c r="O502" s="569">
        <f>SUM(K502:N502)</f>
        <v>2622</v>
      </c>
      <c r="P502" s="507"/>
    </row>
    <row r="503" spans="1:16" ht="12.75" customHeight="1" thickBot="1">
      <c r="A503" s="571"/>
      <c r="B503" s="543"/>
      <c r="C503" s="572"/>
      <c r="D503" s="573" t="s">
        <v>866</v>
      </c>
      <c r="E503" s="574">
        <v>2064</v>
      </c>
      <c r="F503" s="574">
        <v>558</v>
      </c>
      <c r="G503" s="621"/>
      <c r="H503" s="574"/>
      <c r="I503" s="574"/>
      <c r="J503" s="574"/>
      <c r="K503" s="575">
        <f>SUM(E503:J503)</f>
        <v>2622</v>
      </c>
      <c r="L503" s="574"/>
      <c r="M503" s="621"/>
      <c r="N503" s="621"/>
      <c r="O503" s="601">
        <f>SUM(K503:N503)</f>
        <v>2622</v>
      </c>
      <c r="P503" s="576"/>
    </row>
    <row r="504" spans="1:16" ht="14.25" customHeight="1">
      <c r="A504" s="550" t="s">
        <v>608</v>
      </c>
      <c r="B504" s="508" t="s">
        <v>316</v>
      </c>
      <c r="C504" s="509" t="s">
        <v>632</v>
      </c>
      <c r="D504" s="655" t="s">
        <v>786</v>
      </c>
      <c r="E504" s="510"/>
      <c r="F504" s="510"/>
      <c r="G504" s="511"/>
      <c r="H504" s="510"/>
      <c r="I504" s="510"/>
      <c r="J504" s="510"/>
      <c r="K504" s="537"/>
      <c r="L504" s="510"/>
      <c r="M504" s="511"/>
      <c r="N504" s="511"/>
      <c r="O504" s="522"/>
      <c r="P504" s="512"/>
    </row>
    <row r="505" spans="1:16" ht="14.25" customHeight="1">
      <c r="A505" s="513"/>
      <c r="B505" s="514"/>
      <c r="C505" s="515"/>
      <c r="D505" s="468" t="s">
        <v>864</v>
      </c>
      <c r="E505" s="501"/>
      <c r="F505" s="501"/>
      <c r="G505" s="516"/>
      <c r="H505" s="501"/>
      <c r="I505" s="501">
        <v>650</v>
      </c>
      <c r="J505" s="501"/>
      <c r="K505" s="535">
        <v>650</v>
      </c>
      <c r="L505" s="501"/>
      <c r="M505" s="516"/>
      <c r="N505" s="516"/>
      <c r="O505" s="569">
        <v>650</v>
      </c>
      <c r="P505" s="507"/>
    </row>
    <row r="506" spans="1:16" ht="14.25" customHeight="1">
      <c r="A506" s="513"/>
      <c r="B506" s="514"/>
      <c r="C506" s="515"/>
      <c r="D506" s="468" t="s">
        <v>865</v>
      </c>
      <c r="E506" s="501"/>
      <c r="F506" s="501"/>
      <c r="G506" s="516"/>
      <c r="H506" s="501"/>
      <c r="I506" s="501">
        <v>650</v>
      </c>
      <c r="J506" s="501"/>
      <c r="K506" s="535">
        <v>650</v>
      </c>
      <c r="L506" s="501"/>
      <c r="M506" s="516"/>
      <c r="N506" s="516"/>
      <c r="O506" s="569">
        <v>650</v>
      </c>
      <c r="P506" s="507"/>
    </row>
    <row r="507" spans="1:16" ht="14.25" customHeight="1" thickBot="1">
      <c r="A507" s="550"/>
      <c r="B507" s="508"/>
      <c r="C507" s="509"/>
      <c r="D507" s="461" t="s">
        <v>866</v>
      </c>
      <c r="E507" s="510"/>
      <c r="F507" s="510"/>
      <c r="G507" s="511"/>
      <c r="H507" s="510"/>
      <c r="I507" s="510">
        <v>650</v>
      </c>
      <c r="J507" s="510"/>
      <c r="K507" s="537">
        <v>0</v>
      </c>
      <c r="L507" s="510"/>
      <c r="M507" s="511"/>
      <c r="N507" s="511"/>
      <c r="O507" s="522">
        <v>0</v>
      </c>
      <c r="P507" s="512"/>
    </row>
    <row r="508" spans="1:16" s="24" customFormat="1" ht="12.75" customHeight="1">
      <c r="A508" s="564" t="s">
        <v>609</v>
      </c>
      <c r="B508" s="565"/>
      <c r="C508" s="566" t="s">
        <v>446</v>
      </c>
      <c r="D508" s="567" t="s">
        <v>285</v>
      </c>
      <c r="E508" s="530"/>
      <c r="F508" s="530"/>
      <c r="G508" s="530"/>
      <c r="H508" s="530"/>
      <c r="I508" s="568"/>
      <c r="J508" s="530"/>
      <c r="K508" s="530"/>
      <c r="L508" s="530"/>
      <c r="M508" s="530"/>
      <c r="N508" s="530"/>
      <c r="O508" s="567"/>
      <c r="P508" s="531"/>
    </row>
    <row r="509" spans="1:16" s="24" customFormat="1" ht="12.75" customHeight="1">
      <c r="A509" s="513"/>
      <c r="B509" s="514"/>
      <c r="C509" s="515"/>
      <c r="D509" s="468" t="s">
        <v>864</v>
      </c>
      <c r="E509" s="535">
        <f>E513+E517+E521</f>
        <v>76887</v>
      </c>
      <c r="F509" s="535">
        <f aca="true" t="shared" si="90" ref="F509:N509">F513+F517+F521</f>
        <v>10379</v>
      </c>
      <c r="G509" s="535">
        <f t="shared" si="90"/>
        <v>5092</v>
      </c>
      <c r="H509" s="535">
        <f t="shared" si="90"/>
        <v>0</v>
      </c>
      <c r="I509" s="535">
        <f t="shared" si="90"/>
        <v>0</v>
      </c>
      <c r="J509" s="535">
        <f t="shared" si="90"/>
        <v>680</v>
      </c>
      <c r="K509" s="535">
        <f t="shared" si="90"/>
        <v>93038</v>
      </c>
      <c r="L509" s="535">
        <f t="shared" si="90"/>
        <v>13450</v>
      </c>
      <c r="M509" s="535">
        <f t="shared" si="90"/>
        <v>0</v>
      </c>
      <c r="N509" s="535">
        <f t="shared" si="90"/>
        <v>0</v>
      </c>
      <c r="O509" s="535">
        <f>O513+O517+O521</f>
        <v>106488</v>
      </c>
      <c r="P509" s="507">
        <f>P513+P517+P521</f>
        <v>124</v>
      </c>
    </row>
    <row r="510" spans="1:16" s="24" customFormat="1" ht="12.75" customHeight="1">
      <c r="A510" s="513"/>
      <c r="B510" s="514"/>
      <c r="C510" s="515"/>
      <c r="D510" s="468" t="s">
        <v>865</v>
      </c>
      <c r="E510" s="535">
        <f aca="true" t="shared" si="91" ref="E510:P511">E514+E518+E522</f>
        <v>74878</v>
      </c>
      <c r="F510" s="535">
        <f t="shared" si="91"/>
        <v>10059</v>
      </c>
      <c r="G510" s="535">
        <f t="shared" si="91"/>
        <v>5336</v>
      </c>
      <c r="H510" s="535">
        <f t="shared" si="91"/>
        <v>0</v>
      </c>
      <c r="I510" s="535">
        <f t="shared" si="91"/>
        <v>0</v>
      </c>
      <c r="J510" s="535">
        <f t="shared" si="91"/>
        <v>689</v>
      </c>
      <c r="K510" s="535">
        <f t="shared" si="91"/>
        <v>90962</v>
      </c>
      <c r="L510" s="535">
        <f t="shared" si="91"/>
        <v>15522</v>
      </c>
      <c r="M510" s="535">
        <f t="shared" si="91"/>
        <v>0</v>
      </c>
      <c r="N510" s="535">
        <f t="shared" si="91"/>
        <v>0</v>
      </c>
      <c r="O510" s="535">
        <f t="shared" si="91"/>
        <v>106484</v>
      </c>
      <c r="P510" s="507">
        <f t="shared" si="91"/>
        <v>124</v>
      </c>
    </row>
    <row r="511" spans="1:16" s="24" customFormat="1" ht="12.75" customHeight="1">
      <c r="A511" s="513"/>
      <c r="B511" s="514"/>
      <c r="C511" s="515"/>
      <c r="D511" s="468" t="s">
        <v>866</v>
      </c>
      <c r="E511" s="535">
        <f t="shared" si="91"/>
        <v>63236</v>
      </c>
      <c r="F511" s="535">
        <f t="shared" si="91"/>
        <v>8681</v>
      </c>
      <c r="G511" s="535">
        <f>G515+G519+G523</f>
        <v>4849</v>
      </c>
      <c r="H511" s="535">
        <f t="shared" si="91"/>
        <v>0</v>
      </c>
      <c r="I511" s="535">
        <f t="shared" si="91"/>
        <v>0</v>
      </c>
      <c r="J511" s="535">
        <f t="shared" si="91"/>
        <v>65</v>
      </c>
      <c r="K511" s="535">
        <f>K515+K519+K523</f>
        <v>76831</v>
      </c>
      <c r="L511" s="535">
        <f t="shared" si="91"/>
        <v>14675</v>
      </c>
      <c r="M511" s="535">
        <f t="shared" si="91"/>
        <v>0</v>
      </c>
      <c r="N511" s="535">
        <f t="shared" si="91"/>
        <v>0</v>
      </c>
      <c r="O511" s="535">
        <f t="shared" si="91"/>
        <v>91506</v>
      </c>
      <c r="P511" s="507">
        <f t="shared" si="91"/>
        <v>71</v>
      </c>
    </row>
    <row r="512" spans="1:16" ht="12.75" customHeight="1">
      <c r="A512" s="541"/>
      <c r="B512" s="514" t="s">
        <v>316</v>
      </c>
      <c r="C512" s="515" t="s">
        <v>632</v>
      </c>
      <c r="D512" s="559" t="s">
        <v>673</v>
      </c>
      <c r="E512" s="501"/>
      <c r="F512" s="501"/>
      <c r="G512" s="516"/>
      <c r="H512" s="501"/>
      <c r="I512" s="515"/>
      <c r="J512" s="501"/>
      <c r="K512" s="535"/>
      <c r="L512" s="501"/>
      <c r="M512" s="501"/>
      <c r="N512" s="501"/>
      <c r="O512" s="569"/>
      <c r="P512" s="507"/>
    </row>
    <row r="513" spans="1:16" ht="12.75" customHeight="1">
      <c r="A513" s="541"/>
      <c r="B513" s="514"/>
      <c r="C513" s="515"/>
      <c r="D513" s="468" t="s">
        <v>864</v>
      </c>
      <c r="E513" s="501">
        <v>74616</v>
      </c>
      <c r="F513" s="501">
        <v>10073</v>
      </c>
      <c r="G513" s="516">
        <v>4914</v>
      </c>
      <c r="H513" s="501"/>
      <c r="I513" s="515"/>
      <c r="J513" s="501"/>
      <c r="K513" s="535">
        <f>SUM(E513:J513)</f>
        <v>89603</v>
      </c>
      <c r="L513" s="501">
        <v>13450</v>
      </c>
      <c r="M513" s="501"/>
      <c r="N513" s="501"/>
      <c r="O513" s="569">
        <f>SUM(K513:N513)</f>
        <v>103053</v>
      </c>
      <c r="P513" s="507">
        <v>94</v>
      </c>
    </row>
    <row r="514" spans="1:16" ht="12.75" customHeight="1">
      <c r="A514" s="541"/>
      <c r="B514" s="514"/>
      <c r="C514" s="515"/>
      <c r="D514" s="468" t="s">
        <v>865</v>
      </c>
      <c r="E514" s="501">
        <v>62678</v>
      </c>
      <c r="F514" s="501">
        <v>8059</v>
      </c>
      <c r="G514" s="516">
        <v>5336</v>
      </c>
      <c r="H514" s="501"/>
      <c r="I514" s="515"/>
      <c r="J514" s="501">
        <v>689</v>
      </c>
      <c r="K514" s="535">
        <f aca="true" t="shared" si="92" ref="K514:K526">SUM(E514:J514)</f>
        <v>76762</v>
      </c>
      <c r="L514" s="501">
        <v>15522</v>
      </c>
      <c r="M514" s="501"/>
      <c r="N514" s="501"/>
      <c r="O514" s="569">
        <f aca="true" t="shared" si="93" ref="O514:O523">SUM(K514:N514)</f>
        <v>92284</v>
      </c>
      <c r="P514" s="507">
        <v>94</v>
      </c>
    </row>
    <row r="515" spans="1:16" ht="12.75" customHeight="1">
      <c r="A515" s="541"/>
      <c r="B515" s="514"/>
      <c r="C515" s="515"/>
      <c r="D515" s="468" t="s">
        <v>866</v>
      </c>
      <c r="E515" s="501">
        <v>51806</v>
      </c>
      <c r="F515" s="501">
        <v>7138</v>
      </c>
      <c r="G515" s="516">
        <f>2653+1044+1008+144</f>
        <v>4849</v>
      </c>
      <c r="H515" s="501"/>
      <c r="I515" s="515"/>
      <c r="J515" s="501">
        <f>44+21</f>
        <v>65</v>
      </c>
      <c r="K515" s="535">
        <f>SUM(E515:J515)</f>
        <v>63858</v>
      </c>
      <c r="L515" s="501">
        <f>9479+12923+4731-12458</f>
        <v>14675</v>
      </c>
      <c r="M515" s="501"/>
      <c r="N515" s="501"/>
      <c r="O515" s="569">
        <f>SUM(K515:N515)</f>
        <v>78533</v>
      </c>
      <c r="P515" s="507">
        <v>59</v>
      </c>
    </row>
    <row r="516" spans="1:16" ht="12.75" customHeight="1">
      <c r="A516" s="541"/>
      <c r="B516" s="514" t="s">
        <v>318</v>
      </c>
      <c r="C516" s="515" t="s">
        <v>632</v>
      </c>
      <c r="D516" s="559" t="s">
        <v>675</v>
      </c>
      <c r="E516" s="501"/>
      <c r="F516" s="501"/>
      <c r="G516" s="516"/>
      <c r="H516" s="501"/>
      <c r="I516" s="515"/>
      <c r="J516" s="501"/>
      <c r="K516" s="535"/>
      <c r="L516" s="501"/>
      <c r="M516" s="501"/>
      <c r="N516" s="501"/>
      <c r="O516" s="569"/>
      <c r="P516" s="507"/>
    </row>
    <row r="517" spans="1:16" ht="12.75" customHeight="1">
      <c r="A517" s="541"/>
      <c r="B517" s="514"/>
      <c r="C517" s="515"/>
      <c r="D517" s="468" t="s">
        <v>864</v>
      </c>
      <c r="E517" s="501">
        <v>428</v>
      </c>
      <c r="F517" s="501">
        <v>58</v>
      </c>
      <c r="G517" s="516"/>
      <c r="H517" s="501"/>
      <c r="I517" s="515"/>
      <c r="J517" s="501"/>
      <c r="K517" s="535">
        <f t="shared" si="92"/>
        <v>486</v>
      </c>
      <c r="L517" s="501"/>
      <c r="M517" s="501"/>
      <c r="N517" s="501"/>
      <c r="O517" s="569">
        <f t="shared" si="93"/>
        <v>486</v>
      </c>
      <c r="P517" s="507">
        <v>10</v>
      </c>
    </row>
    <row r="518" spans="1:16" ht="12.75" customHeight="1">
      <c r="A518" s="593"/>
      <c r="B518" s="518"/>
      <c r="C518" s="611"/>
      <c r="D518" s="468" t="s">
        <v>865</v>
      </c>
      <c r="E518" s="521">
        <v>12200</v>
      </c>
      <c r="F518" s="521">
        <v>2000</v>
      </c>
      <c r="G518" s="613"/>
      <c r="H518" s="521"/>
      <c r="I518" s="611"/>
      <c r="J518" s="521"/>
      <c r="K518" s="535">
        <f t="shared" si="92"/>
        <v>14200</v>
      </c>
      <c r="L518" s="521"/>
      <c r="M518" s="521"/>
      <c r="N518" s="521"/>
      <c r="O518" s="569">
        <f t="shared" si="93"/>
        <v>14200</v>
      </c>
      <c r="P518" s="608">
        <v>10</v>
      </c>
    </row>
    <row r="519" spans="1:16" ht="12.75" customHeight="1">
      <c r="A519" s="593"/>
      <c r="B519" s="518"/>
      <c r="C519" s="611"/>
      <c r="D519" s="468" t="s">
        <v>866</v>
      </c>
      <c r="E519" s="521">
        <v>11430</v>
      </c>
      <c r="F519" s="521">
        <v>1543</v>
      </c>
      <c r="G519" s="613"/>
      <c r="H519" s="521"/>
      <c r="I519" s="611"/>
      <c r="J519" s="521"/>
      <c r="K519" s="535">
        <f t="shared" si="92"/>
        <v>12973</v>
      </c>
      <c r="L519" s="521"/>
      <c r="M519" s="521"/>
      <c r="N519" s="521"/>
      <c r="O519" s="569">
        <f t="shared" si="93"/>
        <v>12973</v>
      </c>
      <c r="P519" s="608">
        <v>12</v>
      </c>
    </row>
    <row r="520" spans="1:16" ht="12.75" customHeight="1">
      <c r="A520" s="593"/>
      <c r="B520" s="518" t="s">
        <v>319</v>
      </c>
      <c r="C520" s="611" t="s">
        <v>632</v>
      </c>
      <c r="D520" s="636" t="s">
        <v>674</v>
      </c>
      <c r="E520" s="521"/>
      <c r="F520" s="521"/>
      <c r="G520" s="613"/>
      <c r="H520" s="521"/>
      <c r="I520" s="611"/>
      <c r="J520" s="521"/>
      <c r="K520" s="535"/>
      <c r="L520" s="521"/>
      <c r="M520" s="521"/>
      <c r="N520" s="521"/>
      <c r="O520" s="569"/>
      <c r="P520" s="608"/>
    </row>
    <row r="521" spans="1:16" ht="12.75" customHeight="1">
      <c r="A521" s="541"/>
      <c r="B521" s="514"/>
      <c r="C521" s="515"/>
      <c r="D521" s="468" t="s">
        <v>864</v>
      </c>
      <c r="E521" s="501">
        <v>1843</v>
      </c>
      <c r="F521" s="501">
        <v>248</v>
      </c>
      <c r="G521" s="516">
        <v>178</v>
      </c>
      <c r="H521" s="501"/>
      <c r="I521" s="515"/>
      <c r="J521" s="501">
        <v>680</v>
      </c>
      <c r="K521" s="535">
        <f t="shared" si="92"/>
        <v>2949</v>
      </c>
      <c r="L521" s="501"/>
      <c r="M521" s="501"/>
      <c r="N521" s="501"/>
      <c r="O521" s="569">
        <f t="shared" si="93"/>
        <v>2949</v>
      </c>
      <c r="P521" s="507">
        <v>20</v>
      </c>
    </row>
    <row r="522" spans="1:16" ht="12.75" customHeight="1">
      <c r="A522" s="541"/>
      <c r="B522" s="514"/>
      <c r="C522" s="515"/>
      <c r="D522" s="468" t="s">
        <v>865</v>
      </c>
      <c r="E522" s="501">
        <v>0</v>
      </c>
      <c r="F522" s="501">
        <v>0</v>
      </c>
      <c r="G522" s="516">
        <v>0</v>
      </c>
      <c r="H522" s="501">
        <v>0</v>
      </c>
      <c r="I522" s="515"/>
      <c r="J522" s="501">
        <v>0</v>
      </c>
      <c r="K522" s="535">
        <f t="shared" si="92"/>
        <v>0</v>
      </c>
      <c r="L522" s="501"/>
      <c r="M522" s="501"/>
      <c r="N522" s="501"/>
      <c r="O522" s="569">
        <f t="shared" si="93"/>
        <v>0</v>
      </c>
      <c r="P522" s="507">
        <v>20</v>
      </c>
    </row>
    <row r="523" spans="1:16" ht="12.75" customHeight="1" thickBot="1">
      <c r="A523" s="542"/>
      <c r="B523" s="543"/>
      <c r="C523" s="572"/>
      <c r="D523" s="573" t="s">
        <v>866</v>
      </c>
      <c r="E523" s="574"/>
      <c r="F523" s="574"/>
      <c r="G523" s="621"/>
      <c r="H523" s="574"/>
      <c r="I523" s="572"/>
      <c r="J523" s="574">
        <v>0</v>
      </c>
      <c r="K523" s="575">
        <f t="shared" si="92"/>
        <v>0</v>
      </c>
      <c r="L523" s="574"/>
      <c r="M523" s="574"/>
      <c r="N523" s="574"/>
      <c r="O523" s="601">
        <f t="shared" si="93"/>
        <v>0</v>
      </c>
      <c r="P523" s="576"/>
    </row>
    <row r="524" spans="1:16" s="24" customFormat="1" ht="12.75" customHeight="1">
      <c r="A524" s="602" t="s">
        <v>587</v>
      </c>
      <c r="B524" s="590" t="s">
        <v>316</v>
      </c>
      <c r="C524" s="539" t="s">
        <v>632</v>
      </c>
      <c r="D524" s="591" t="s">
        <v>286</v>
      </c>
      <c r="E524" s="540"/>
      <c r="F524" s="540"/>
      <c r="G524" s="591"/>
      <c r="H524" s="540"/>
      <c r="I524" s="628"/>
      <c r="J524" s="540"/>
      <c r="K524" s="540"/>
      <c r="L524" s="540"/>
      <c r="M524" s="540"/>
      <c r="N524" s="540"/>
      <c r="O524" s="591"/>
      <c r="P524" s="604"/>
    </row>
    <row r="525" spans="1:16" s="24" customFormat="1" ht="12.75" customHeight="1">
      <c r="A525" s="513"/>
      <c r="B525" s="514"/>
      <c r="C525" s="515"/>
      <c r="D525" s="468" t="s">
        <v>864</v>
      </c>
      <c r="E525" s="535">
        <v>1800</v>
      </c>
      <c r="F525" s="535">
        <v>486</v>
      </c>
      <c r="G525" s="569"/>
      <c r="H525" s="535"/>
      <c r="I525" s="597"/>
      <c r="J525" s="535"/>
      <c r="K525" s="535">
        <f t="shared" si="92"/>
        <v>2286</v>
      </c>
      <c r="L525" s="535"/>
      <c r="M525" s="535"/>
      <c r="N525" s="535"/>
      <c r="O525" s="569">
        <v>2286</v>
      </c>
      <c r="P525" s="507">
        <v>1</v>
      </c>
    </row>
    <row r="526" spans="1:16" s="24" customFormat="1" ht="12.75" customHeight="1">
      <c r="A526" s="513"/>
      <c r="B526" s="514"/>
      <c r="C526" s="515"/>
      <c r="D526" s="468" t="s">
        <v>865</v>
      </c>
      <c r="E526" s="535">
        <v>1898</v>
      </c>
      <c r="F526" s="535">
        <v>512</v>
      </c>
      <c r="G526" s="569"/>
      <c r="H526" s="535"/>
      <c r="I526" s="597"/>
      <c r="J526" s="535"/>
      <c r="K526" s="535">
        <f t="shared" si="92"/>
        <v>2410</v>
      </c>
      <c r="L526" s="535"/>
      <c r="M526" s="535"/>
      <c r="N526" s="535"/>
      <c r="O526" s="569">
        <v>2410</v>
      </c>
      <c r="P526" s="507">
        <v>1</v>
      </c>
    </row>
    <row r="527" spans="1:16" s="24" customFormat="1" ht="12.75" customHeight="1" thickBot="1">
      <c r="A527" s="571"/>
      <c r="B527" s="543"/>
      <c r="C527" s="572"/>
      <c r="D527" s="573" t="s">
        <v>866</v>
      </c>
      <c r="E527" s="575">
        <v>1575</v>
      </c>
      <c r="F527" s="575">
        <v>433</v>
      </c>
      <c r="G527" s="601"/>
      <c r="H527" s="575"/>
      <c r="I527" s="600"/>
      <c r="J527" s="575"/>
      <c r="K527" s="614">
        <f>SUM(E527:J527)</f>
        <v>2008</v>
      </c>
      <c r="L527" s="575"/>
      <c r="M527" s="575"/>
      <c r="N527" s="575"/>
      <c r="O527" s="601">
        <v>2008</v>
      </c>
      <c r="P527" s="576">
        <v>1</v>
      </c>
    </row>
    <row r="528" spans="1:16" s="24" customFormat="1" ht="12.75" customHeight="1">
      <c r="A528" s="496" t="s">
        <v>610</v>
      </c>
      <c r="B528" s="503"/>
      <c r="C528" s="498"/>
      <c r="D528" s="505" t="s">
        <v>521</v>
      </c>
      <c r="E528" s="616"/>
      <c r="F528" s="616"/>
      <c r="G528" s="616"/>
      <c r="H528" s="616"/>
      <c r="I528" s="616"/>
      <c r="J528" s="616"/>
      <c r="K528" s="540"/>
      <c r="L528" s="616"/>
      <c r="M528" s="616"/>
      <c r="N528" s="616"/>
      <c r="O528" s="505"/>
      <c r="P528" s="506"/>
    </row>
    <row r="529" spans="1:16" s="24" customFormat="1" ht="12.75" customHeight="1">
      <c r="A529" s="496"/>
      <c r="B529" s="503"/>
      <c r="C529" s="498"/>
      <c r="D529" s="468" t="s">
        <v>864</v>
      </c>
      <c r="E529" s="616">
        <f>E533+E537+E541+E545+E549</f>
        <v>0</v>
      </c>
      <c r="F529" s="616">
        <f aca="true" t="shared" si="94" ref="F529:O529">F533+F537+F541+F545+F549</f>
        <v>0</v>
      </c>
      <c r="G529" s="616">
        <f t="shared" si="94"/>
        <v>7500</v>
      </c>
      <c r="H529" s="616">
        <f t="shared" si="94"/>
        <v>0</v>
      </c>
      <c r="I529" s="616">
        <f t="shared" si="94"/>
        <v>450</v>
      </c>
      <c r="J529" s="616">
        <f t="shared" si="94"/>
        <v>0</v>
      </c>
      <c r="K529" s="616">
        <f t="shared" si="94"/>
        <v>7950</v>
      </c>
      <c r="L529" s="616">
        <f t="shared" si="94"/>
        <v>0</v>
      </c>
      <c r="M529" s="616">
        <f t="shared" si="94"/>
        <v>0</v>
      </c>
      <c r="N529" s="616">
        <f t="shared" si="94"/>
        <v>0</v>
      </c>
      <c r="O529" s="616">
        <f t="shared" si="94"/>
        <v>7950</v>
      </c>
      <c r="P529" s="506"/>
    </row>
    <row r="530" spans="1:16" s="24" customFormat="1" ht="12.75" customHeight="1">
      <c r="A530" s="496"/>
      <c r="B530" s="503"/>
      <c r="C530" s="498"/>
      <c r="D530" s="468" t="s">
        <v>865</v>
      </c>
      <c r="E530" s="616">
        <f aca="true" t="shared" si="95" ref="E530:O530">E534+E538+E542+E546+E550+E554</f>
        <v>907</v>
      </c>
      <c r="F530" s="616">
        <f t="shared" si="95"/>
        <v>247</v>
      </c>
      <c r="G530" s="616">
        <f t="shared" si="95"/>
        <v>21973</v>
      </c>
      <c r="H530" s="616">
        <f t="shared" si="95"/>
        <v>0</v>
      </c>
      <c r="I530" s="616">
        <f t="shared" si="95"/>
        <v>450</v>
      </c>
      <c r="J530" s="616">
        <f t="shared" si="95"/>
        <v>0</v>
      </c>
      <c r="K530" s="616">
        <f t="shared" si="95"/>
        <v>23577</v>
      </c>
      <c r="L530" s="616">
        <f t="shared" si="95"/>
        <v>19700</v>
      </c>
      <c r="M530" s="616">
        <f t="shared" si="95"/>
        <v>0</v>
      </c>
      <c r="N530" s="616">
        <f t="shared" si="95"/>
        <v>0</v>
      </c>
      <c r="O530" s="616">
        <f t="shared" si="95"/>
        <v>43277</v>
      </c>
      <c r="P530" s="506"/>
    </row>
    <row r="531" spans="1:16" s="24" customFormat="1" ht="12.75" customHeight="1">
      <c r="A531" s="496"/>
      <c r="B531" s="503"/>
      <c r="C531" s="498"/>
      <c r="D531" s="461" t="s">
        <v>866</v>
      </c>
      <c r="E531" s="616">
        <f aca="true" t="shared" si="96" ref="E531:O531">E535+E539+E543+E547+E551+E555</f>
        <v>242</v>
      </c>
      <c r="F531" s="616">
        <f t="shared" si="96"/>
        <v>63</v>
      </c>
      <c r="G531" s="616">
        <f>G535+G539+G543+G547+G551+G555</f>
        <v>11408</v>
      </c>
      <c r="H531" s="616">
        <f t="shared" si="96"/>
        <v>0</v>
      </c>
      <c r="I531" s="616">
        <f t="shared" si="96"/>
        <v>450</v>
      </c>
      <c r="J531" s="616">
        <f t="shared" si="96"/>
        <v>0</v>
      </c>
      <c r="K531" s="616">
        <f t="shared" si="96"/>
        <v>12163</v>
      </c>
      <c r="L531" s="616">
        <f t="shared" si="96"/>
        <v>13001</v>
      </c>
      <c r="M531" s="616">
        <f t="shared" si="96"/>
        <v>0</v>
      </c>
      <c r="N531" s="616">
        <f t="shared" si="96"/>
        <v>0</v>
      </c>
      <c r="O531" s="616">
        <f t="shared" si="96"/>
        <v>25164</v>
      </c>
      <c r="P531" s="506"/>
    </row>
    <row r="532" spans="1:16" ht="10.5" customHeight="1">
      <c r="A532" s="496"/>
      <c r="B532" s="656" t="s">
        <v>316</v>
      </c>
      <c r="C532" s="498" t="s">
        <v>632</v>
      </c>
      <c r="D532" s="516" t="s">
        <v>522</v>
      </c>
      <c r="E532" s="502"/>
      <c r="F532" s="502"/>
      <c r="G532" s="497"/>
      <c r="H532" s="497"/>
      <c r="I532" s="498"/>
      <c r="J532" s="502"/>
      <c r="K532" s="535"/>
      <c r="L532" s="497"/>
      <c r="M532" s="497"/>
      <c r="N532" s="497"/>
      <c r="O532" s="569"/>
      <c r="P532" s="506"/>
    </row>
    <row r="533" spans="1:16" ht="10.5" customHeight="1">
      <c r="A533" s="496"/>
      <c r="B533" s="656"/>
      <c r="C533" s="498"/>
      <c r="D533" s="468" t="s">
        <v>864</v>
      </c>
      <c r="E533" s="502"/>
      <c r="F533" s="502"/>
      <c r="G533" s="497">
        <v>5000</v>
      </c>
      <c r="H533" s="497"/>
      <c r="I533" s="498"/>
      <c r="J533" s="502"/>
      <c r="K533" s="616">
        <f>SUM(E533:J533)</f>
        <v>5000</v>
      </c>
      <c r="L533" s="497"/>
      <c r="M533" s="497"/>
      <c r="N533" s="497"/>
      <c r="O533" s="505">
        <f>SUM(K533:N533)</f>
        <v>5000</v>
      </c>
      <c r="P533" s="506"/>
    </row>
    <row r="534" spans="1:16" ht="10.5" customHeight="1">
      <c r="A534" s="496"/>
      <c r="B534" s="656"/>
      <c r="C534" s="498"/>
      <c r="D534" s="468" t="s">
        <v>865</v>
      </c>
      <c r="E534" s="502"/>
      <c r="F534" s="502"/>
      <c r="G534" s="497">
        <v>4900</v>
      </c>
      <c r="H534" s="497"/>
      <c r="I534" s="498"/>
      <c r="J534" s="502"/>
      <c r="K534" s="616">
        <f aca="true" t="shared" si="97" ref="K534:K551">SUM(E534:J534)</f>
        <v>4900</v>
      </c>
      <c r="L534" s="497"/>
      <c r="M534" s="497"/>
      <c r="N534" s="497"/>
      <c r="O534" s="505">
        <f aca="true" t="shared" si="98" ref="O534:O551">SUM(K534:N534)</f>
        <v>4900</v>
      </c>
      <c r="P534" s="506"/>
    </row>
    <row r="535" spans="1:16" ht="10.5" customHeight="1">
      <c r="A535" s="496"/>
      <c r="B535" s="656"/>
      <c r="C535" s="498"/>
      <c r="D535" s="461" t="s">
        <v>866</v>
      </c>
      <c r="E535" s="502"/>
      <c r="F535" s="502"/>
      <c r="G535" s="497">
        <v>4670</v>
      </c>
      <c r="H535" s="497"/>
      <c r="I535" s="498"/>
      <c r="J535" s="502"/>
      <c r="K535" s="616">
        <f t="shared" si="97"/>
        <v>4670</v>
      </c>
      <c r="L535" s="497"/>
      <c r="M535" s="497"/>
      <c r="N535" s="497"/>
      <c r="O535" s="505">
        <f t="shared" si="98"/>
        <v>4670</v>
      </c>
      <c r="P535" s="506"/>
    </row>
    <row r="536" spans="1:16" ht="10.5" customHeight="1">
      <c r="A536" s="496"/>
      <c r="B536" s="656" t="s">
        <v>318</v>
      </c>
      <c r="C536" s="498" t="s">
        <v>632</v>
      </c>
      <c r="D536" s="499" t="s">
        <v>785</v>
      </c>
      <c r="E536" s="502"/>
      <c r="F536" s="502"/>
      <c r="G536" s="497"/>
      <c r="H536" s="497"/>
      <c r="I536" s="498"/>
      <c r="J536" s="502"/>
      <c r="K536" s="616"/>
      <c r="L536" s="497"/>
      <c r="M536" s="497"/>
      <c r="N536" s="497"/>
      <c r="O536" s="505"/>
      <c r="P536" s="506"/>
    </row>
    <row r="537" spans="1:16" ht="10.5" customHeight="1">
      <c r="A537" s="496"/>
      <c r="B537" s="656"/>
      <c r="C537" s="498"/>
      <c r="D537" s="468" t="s">
        <v>864</v>
      </c>
      <c r="E537" s="502"/>
      <c r="F537" s="502"/>
      <c r="G537" s="497"/>
      <c r="H537" s="497"/>
      <c r="I537" s="498">
        <v>450</v>
      </c>
      <c r="J537" s="502"/>
      <c r="K537" s="616">
        <f t="shared" si="97"/>
        <v>450</v>
      </c>
      <c r="L537" s="497"/>
      <c r="M537" s="497"/>
      <c r="N537" s="497"/>
      <c r="O537" s="505">
        <f t="shared" si="98"/>
        <v>450</v>
      </c>
      <c r="P537" s="506"/>
    </row>
    <row r="538" spans="1:16" ht="10.5" customHeight="1">
      <c r="A538" s="496"/>
      <c r="B538" s="656"/>
      <c r="C538" s="498"/>
      <c r="D538" s="468" t="s">
        <v>865</v>
      </c>
      <c r="E538" s="502"/>
      <c r="F538" s="502"/>
      <c r="G538" s="497">
        <v>6</v>
      </c>
      <c r="H538" s="497"/>
      <c r="I538" s="498">
        <v>450</v>
      </c>
      <c r="J538" s="502"/>
      <c r="K538" s="616">
        <f t="shared" si="97"/>
        <v>456</v>
      </c>
      <c r="L538" s="497"/>
      <c r="M538" s="497"/>
      <c r="N538" s="497"/>
      <c r="O538" s="505">
        <f t="shared" si="98"/>
        <v>456</v>
      </c>
      <c r="P538" s="506"/>
    </row>
    <row r="539" spans="1:16" ht="10.5" customHeight="1">
      <c r="A539" s="496"/>
      <c r="B539" s="656"/>
      <c r="C539" s="498"/>
      <c r="D539" s="461" t="s">
        <v>866</v>
      </c>
      <c r="E539" s="502"/>
      <c r="F539" s="502"/>
      <c r="G539" s="497">
        <v>6</v>
      </c>
      <c r="H539" s="497"/>
      <c r="I539" s="498">
        <v>450</v>
      </c>
      <c r="J539" s="502"/>
      <c r="K539" s="616">
        <f t="shared" si="97"/>
        <v>456</v>
      </c>
      <c r="L539" s="497"/>
      <c r="M539" s="497"/>
      <c r="N539" s="497"/>
      <c r="O539" s="505">
        <f t="shared" si="98"/>
        <v>456</v>
      </c>
      <c r="P539" s="506"/>
    </row>
    <row r="540" spans="1:16" ht="10.5" customHeight="1">
      <c r="A540" s="496"/>
      <c r="B540" s="656" t="s">
        <v>319</v>
      </c>
      <c r="C540" s="498" t="s">
        <v>632</v>
      </c>
      <c r="D540" s="499" t="s">
        <v>791</v>
      </c>
      <c r="E540" s="502"/>
      <c r="F540" s="502"/>
      <c r="G540" s="497"/>
      <c r="H540" s="497"/>
      <c r="I540" s="498"/>
      <c r="J540" s="502"/>
      <c r="K540" s="616"/>
      <c r="L540" s="497"/>
      <c r="M540" s="497"/>
      <c r="N540" s="497"/>
      <c r="O540" s="505"/>
      <c r="P540" s="506"/>
    </row>
    <row r="541" spans="1:16" ht="10.5" customHeight="1">
      <c r="A541" s="496"/>
      <c r="B541" s="656"/>
      <c r="C541" s="498"/>
      <c r="D541" s="468" t="s">
        <v>864</v>
      </c>
      <c r="E541" s="502"/>
      <c r="F541" s="502"/>
      <c r="G541" s="497">
        <v>2500</v>
      </c>
      <c r="H541" s="497"/>
      <c r="I541" s="498"/>
      <c r="J541" s="502"/>
      <c r="K541" s="616">
        <f t="shared" si="97"/>
        <v>2500</v>
      </c>
      <c r="L541" s="497"/>
      <c r="M541" s="497"/>
      <c r="N541" s="497"/>
      <c r="O541" s="505">
        <f t="shared" si="98"/>
        <v>2500</v>
      </c>
      <c r="P541" s="506"/>
    </row>
    <row r="542" spans="1:16" ht="10.5" customHeight="1">
      <c r="A542" s="496"/>
      <c r="B542" s="656"/>
      <c r="C542" s="498"/>
      <c r="D542" s="468" t="s">
        <v>865</v>
      </c>
      <c r="E542" s="502"/>
      <c r="F542" s="502">
        <v>9</v>
      </c>
      <c r="G542" s="497">
        <v>3291</v>
      </c>
      <c r="H542" s="497"/>
      <c r="I542" s="498"/>
      <c r="J542" s="502"/>
      <c r="K542" s="616">
        <f t="shared" si="97"/>
        <v>3300</v>
      </c>
      <c r="L542" s="497"/>
      <c r="M542" s="497"/>
      <c r="N542" s="497"/>
      <c r="O542" s="505">
        <f t="shared" si="98"/>
        <v>3300</v>
      </c>
      <c r="P542" s="506"/>
    </row>
    <row r="543" spans="1:16" ht="10.5" customHeight="1">
      <c r="A543" s="496"/>
      <c r="B543" s="656"/>
      <c r="C543" s="498"/>
      <c r="D543" s="461" t="s">
        <v>866</v>
      </c>
      <c r="E543" s="502"/>
      <c r="F543" s="502">
        <v>4</v>
      </c>
      <c r="G543" s="497">
        <f>22+4+3138+4</f>
        <v>3168</v>
      </c>
      <c r="H543" s="497"/>
      <c r="I543" s="498"/>
      <c r="J543" s="502"/>
      <c r="K543" s="616">
        <f t="shared" si="97"/>
        <v>3172</v>
      </c>
      <c r="L543" s="497"/>
      <c r="M543" s="497"/>
      <c r="N543" s="497"/>
      <c r="O543" s="505">
        <f t="shared" si="98"/>
        <v>3172</v>
      </c>
      <c r="P543" s="506"/>
    </row>
    <row r="544" spans="1:16" ht="10.5" customHeight="1">
      <c r="A544" s="496"/>
      <c r="B544" s="656" t="s">
        <v>321</v>
      </c>
      <c r="C544" s="498" t="s">
        <v>632</v>
      </c>
      <c r="D544" s="499" t="s">
        <v>797</v>
      </c>
      <c r="E544" s="502"/>
      <c r="F544" s="502"/>
      <c r="G544" s="497"/>
      <c r="H544" s="497"/>
      <c r="I544" s="498"/>
      <c r="J544" s="502"/>
      <c r="K544" s="616"/>
      <c r="L544" s="497"/>
      <c r="M544" s="497"/>
      <c r="N544" s="497"/>
      <c r="O544" s="505"/>
      <c r="P544" s="506"/>
    </row>
    <row r="545" spans="1:16" ht="10.5" customHeight="1">
      <c r="A545" s="496"/>
      <c r="B545" s="656"/>
      <c r="C545" s="498"/>
      <c r="D545" s="468" t="s">
        <v>864</v>
      </c>
      <c r="E545" s="502"/>
      <c r="F545" s="502"/>
      <c r="G545" s="497"/>
      <c r="H545" s="497"/>
      <c r="I545" s="498"/>
      <c r="J545" s="502"/>
      <c r="K545" s="616">
        <f t="shared" si="97"/>
        <v>0</v>
      </c>
      <c r="L545" s="497"/>
      <c r="M545" s="497"/>
      <c r="N545" s="497"/>
      <c r="O545" s="505">
        <f t="shared" si="98"/>
        <v>0</v>
      </c>
      <c r="P545" s="506"/>
    </row>
    <row r="546" spans="1:16" ht="10.5" customHeight="1">
      <c r="A546" s="496"/>
      <c r="B546" s="656"/>
      <c r="C546" s="498"/>
      <c r="D546" s="468" t="s">
        <v>865</v>
      </c>
      <c r="E546" s="502"/>
      <c r="F546" s="502"/>
      <c r="G546" s="497">
        <v>839</v>
      </c>
      <c r="H546" s="497"/>
      <c r="I546" s="498"/>
      <c r="J546" s="502"/>
      <c r="K546" s="616">
        <f t="shared" si="97"/>
        <v>839</v>
      </c>
      <c r="L546" s="497"/>
      <c r="M546" s="497"/>
      <c r="N546" s="497"/>
      <c r="O546" s="505">
        <f t="shared" si="98"/>
        <v>839</v>
      </c>
      <c r="P546" s="506"/>
    </row>
    <row r="547" spans="1:16" ht="10.5" customHeight="1">
      <c r="A547" s="496"/>
      <c r="B547" s="656"/>
      <c r="C547" s="498"/>
      <c r="D547" s="461" t="s">
        <v>866</v>
      </c>
      <c r="E547" s="502"/>
      <c r="F547" s="502"/>
      <c r="G547" s="497">
        <v>677</v>
      </c>
      <c r="H547" s="497"/>
      <c r="I547" s="498"/>
      <c r="J547" s="502"/>
      <c r="K547" s="616">
        <f t="shared" si="97"/>
        <v>677</v>
      </c>
      <c r="L547" s="497"/>
      <c r="M547" s="497"/>
      <c r="N547" s="497"/>
      <c r="O547" s="505">
        <f t="shared" si="98"/>
        <v>677</v>
      </c>
      <c r="P547" s="506"/>
    </row>
    <row r="548" spans="1:16" ht="26.25" customHeight="1">
      <c r="A548" s="496"/>
      <c r="B548" s="656" t="s">
        <v>322</v>
      </c>
      <c r="C548" s="498" t="s">
        <v>632</v>
      </c>
      <c r="D548" s="1935" t="s">
        <v>853</v>
      </c>
      <c r="E548" s="1936"/>
      <c r="F548" s="1937"/>
      <c r="G548" s="497"/>
      <c r="H548" s="497"/>
      <c r="I548" s="498"/>
      <c r="J548" s="502"/>
      <c r="K548" s="616"/>
      <c r="L548" s="497"/>
      <c r="M548" s="497"/>
      <c r="N548" s="497"/>
      <c r="O548" s="505"/>
      <c r="P548" s="506"/>
    </row>
    <row r="549" spans="1:16" ht="9.75" customHeight="1">
      <c r="A549" s="496"/>
      <c r="B549" s="656"/>
      <c r="C549" s="498"/>
      <c r="D549" s="468" t="s">
        <v>864</v>
      </c>
      <c r="E549" s="502"/>
      <c r="F549" s="502"/>
      <c r="G549" s="497"/>
      <c r="H549" s="497"/>
      <c r="I549" s="498"/>
      <c r="J549" s="502"/>
      <c r="K549" s="616">
        <f t="shared" si="97"/>
        <v>0</v>
      </c>
      <c r="L549" s="497">
        <v>0</v>
      </c>
      <c r="M549" s="497"/>
      <c r="N549" s="497"/>
      <c r="O549" s="505">
        <f t="shared" si="98"/>
        <v>0</v>
      </c>
      <c r="P549" s="506"/>
    </row>
    <row r="550" spans="1:16" ht="9.75" customHeight="1">
      <c r="A550" s="496"/>
      <c r="B550" s="656"/>
      <c r="C550" s="498"/>
      <c r="D550" s="468" t="s">
        <v>865</v>
      </c>
      <c r="E550" s="502"/>
      <c r="F550" s="502"/>
      <c r="G550" s="497"/>
      <c r="H550" s="497"/>
      <c r="I550" s="498"/>
      <c r="J550" s="502"/>
      <c r="K550" s="616">
        <f t="shared" si="97"/>
        <v>0</v>
      </c>
      <c r="L550" s="497">
        <v>19700</v>
      </c>
      <c r="M550" s="497"/>
      <c r="N550" s="497"/>
      <c r="O550" s="505">
        <f t="shared" si="98"/>
        <v>19700</v>
      </c>
      <c r="P550" s="506"/>
    </row>
    <row r="551" spans="1:16" ht="9.75" customHeight="1">
      <c r="A551" s="496"/>
      <c r="B551" s="656"/>
      <c r="C551" s="498"/>
      <c r="D551" s="461" t="s">
        <v>866</v>
      </c>
      <c r="E551" s="502"/>
      <c r="F551" s="502"/>
      <c r="G551" s="497"/>
      <c r="H551" s="497"/>
      <c r="I551" s="498"/>
      <c r="J551" s="502"/>
      <c r="K551" s="616">
        <f t="shared" si="97"/>
        <v>0</v>
      </c>
      <c r="L551" s="497">
        <v>13001</v>
      </c>
      <c r="M551" s="497"/>
      <c r="N551" s="497"/>
      <c r="O551" s="505">
        <f t="shared" si="98"/>
        <v>13001</v>
      </c>
      <c r="P551" s="506"/>
    </row>
    <row r="552" spans="1:16" ht="12.75" customHeight="1">
      <c r="A552" s="496"/>
      <c r="B552" s="656" t="s">
        <v>323</v>
      </c>
      <c r="C552" s="498" t="s">
        <v>632</v>
      </c>
      <c r="D552" s="503" t="s">
        <v>903</v>
      </c>
      <c r="E552" s="502"/>
      <c r="F552" s="502"/>
      <c r="G552" s="497"/>
      <c r="H552" s="497"/>
      <c r="I552" s="498"/>
      <c r="J552" s="502"/>
      <c r="K552" s="616"/>
      <c r="L552" s="497"/>
      <c r="M552" s="497"/>
      <c r="N552" s="497"/>
      <c r="O552" s="505"/>
      <c r="P552" s="506"/>
    </row>
    <row r="553" spans="1:16" ht="9.75" customHeight="1">
      <c r="A553" s="496"/>
      <c r="B553" s="656"/>
      <c r="C553" s="498"/>
      <c r="D553" s="468" t="s">
        <v>864</v>
      </c>
      <c r="E553" s="502"/>
      <c r="F553" s="502"/>
      <c r="G553" s="497"/>
      <c r="H553" s="497"/>
      <c r="I553" s="498"/>
      <c r="J553" s="502"/>
      <c r="K553" s="616">
        <v>0</v>
      </c>
      <c r="L553" s="497"/>
      <c r="M553" s="497"/>
      <c r="N553" s="497"/>
      <c r="O553" s="505">
        <v>0</v>
      </c>
      <c r="P553" s="506"/>
    </row>
    <row r="554" spans="1:16" ht="9.75" customHeight="1">
      <c r="A554" s="496"/>
      <c r="B554" s="656"/>
      <c r="C554" s="498"/>
      <c r="D554" s="468" t="s">
        <v>865</v>
      </c>
      <c r="E554" s="502">
        <v>907</v>
      </c>
      <c r="F554" s="502">
        <v>238</v>
      </c>
      <c r="G554" s="497">
        <v>12937</v>
      </c>
      <c r="H554" s="497"/>
      <c r="I554" s="498"/>
      <c r="J554" s="502"/>
      <c r="K554" s="616">
        <f>SUM(E554:I554)</f>
        <v>14082</v>
      </c>
      <c r="L554" s="497"/>
      <c r="M554" s="497"/>
      <c r="N554" s="497"/>
      <c r="O554" s="505">
        <f>SUM(K554:N554)</f>
        <v>14082</v>
      </c>
      <c r="P554" s="506"/>
    </row>
    <row r="555" spans="1:16" ht="9.75" customHeight="1" thickBot="1">
      <c r="A555" s="496"/>
      <c r="B555" s="656"/>
      <c r="C555" s="498"/>
      <c r="D555" s="461" t="s">
        <v>866</v>
      </c>
      <c r="E555" s="502">
        <v>242</v>
      </c>
      <c r="F555" s="502">
        <v>59</v>
      </c>
      <c r="G555" s="497">
        <f>633+672+1583-1</f>
        <v>2887</v>
      </c>
      <c r="H555" s="497"/>
      <c r="I555" s="498"/>
      <c r="J555" s="502"/>
      <c r="K555" s="616">
        <f>SUM(E555:J555)</f>
        <v>3188</v>
      </c>
      <c r="L555" s="497"/>
      <c r="M555" s="497"/>
      <c r="N555" s="497"/>
      <c r="O555" s="505">
        <f>SUM(K555:N555)</f>
        <v>3188</v>
      </c>
      <c r="P555" s="506"/>
    </row>
    <row r="556" spans="1:16" s="24" customFormat="1" ht="12.75" customHeight="1">
      <c r="A556" s="602" t="s">
        <v>611</v>
      </c>
      <c r="B556" s="590"/>
      <c r="C556" s="618"/>
      <c r="D556" s="591" t="s">
        <v>523</v>
      </c>
      <c r="E556" s="540"/>
      <c r="F556" s="540"/>
      <c r="G556" s="540"/>
      <c r="H556" s="540"/>
      <c r="I556" s="628"/>
      <c r="J556" s="540"/>
      <c r="K556" s="540"/>
      <c r="L556" s="540"/>
      <c r="M556" s="540"/>
      <c r="N556" s="540"/>
      <c r="O556" s="591"/>
      <c r="P556" s="604"/>
    </row>
    <row r="557" spans="1:16" s="24" customFormat="1" ht="12.75" customHeight="1">
      <c r="A557" s="496"/>
      <c r="B557" s="503"/>
      <c r="C557" s="651"/>
      <c r="D557" s="468" t="s">
        <v>864</v>
      </c>
      <c r="E557" s="616">
        <f>E561+E565</f>
        <v>0</v>
      </c>
      <c r="F557" s="616">
        <f aca="true" t="shared" si="99" ref="F557:O557">F561+F565</f>
        <v>0</v>
      </c>
      <c r="G557" s="616">
        <f t="shared" si="99"/>
        <v>35777</v>
      </c>
      <c r="H557" s="616">
        <f t="shared" si="99"/>
        <v>0</v>
      </c>
      <c r="I557" s="616">
        <f t="shared" si="99"/>
        <v>0</v>
      </c>
      <c r="J557" s="616">
        <f t="shared" si="99"/>
        <v>0</v>
      </c>
      <c r="K557" s="616">
        <f t="shared" si="99"/>
        <v>35777</v>
      </c>
      <c r="L557" s="616">
        <f t="shared" si="99"/>
        <v>0</v>
      </c>
      <c r="M557" s="616">
        <f t="shared" si="99"/>
        <v>0</v>
      </c>
      <c r="N557" s="616">
        <f t="shared" si="99"/>
        <v>0</v>
      </c>
      <c r="O557" s="616">
        <f t="shared" si="99"/>
        <v>35777</v>
      </c>
      <c r="P557" s="506"/>
    </row>
    <row r="558" spans="1:16" s="24" customFormat="1" ht="12.75" customHeight="1">
      <c r="A558" s="496"/>
      <c r="B558" s="503"/>
      <c r="C558" s="651"/>
      <c r="D558" s="468" t="s">
        <v>865</v>
      </c>
      <c r="E558" s="616">
        <f aca="true" t="shared" si="100" ref="E558:O559">E562+E566</f>
        <v>0</v>
      </c>
      <c r="F558" s="616">
        <f t="shared" si="100"/>
        <v>0</v>
      </c>
      <c r="G558" s="616">
        <f t="shared" si="100"/>
        <v>35777</v>
      </c>
      <c r="H558" s="616">
        <f t="shared" si="100"/>
        <v>0</v>
      </c>
      <c r="I558" s="616">
        <f t="shared" si="100"/>
        <v>0</v>
      </c>
      <c r="J558" s="616">
        <f t="shared" si="100"/>
        <v>0</v>
      </c>
      <c r="K558" s="616">
        <f t="shared" si="100"/>
        <v>35777</v>
      </c>
      <c r="L558" s="616">
        <f t="shared" si="100"/>
        <v>0</v>
      </c>
      <c r="M558" s="616">
        <f t="shared" si="100"/>
        <v>0</v>
      </c>
      <c r="N558" s="616">
        <f t="shared" si="100"/>
        <v>0</v>
      </c>
      <c r="O558" s="616">
        <f t="shared" si="100"/>
        <v>35777</v>
      </c>
      <c r="P558" s="506"/>
    </row>
    <row r="559" spans="1:16" s="24" customFormat="1" ht="12.75" customHeight="1">
      <c r="A559" s="496"/>
      <c r="B559" s="503"/>
      <c r="C559" s="651"/>
      <c r="D559" s="461" t="s">
        <v>866</v>
      </c>
      <c r="E559" s="616">
        <f t="shared" si="100"/>
        <v>0</v>
      </c>
      <c r="F559" s="616">
        <f t="shared" si="100"/>
        <v>0</v>
      </c>
      <c r="G559" s="616">
        <f>G563+G567</f>
        <v>34747</v>
      </c>
      <c r="H559" s="616">
        <f t="shared" si="100"/>
        <v>0</v>
      </c>
      <c r="I559" s="616">
        <f t="shared" si="100"/>
        <v>0</v>
      </c>
      <c r="J559" s="616">
        <f t="shared" si="100"/>
        <v>0</v>
      </c>
      <c r="K559" s="616">
        <f t="shared" si="100"/>
        <v>34747</v>
      </c>
      <c r="L559" s="616">
        <f t="shared" si="100"/>
        <v>0</v>
      </c>
      <c r="M559" s="616">
        <f t="shared" si="100"/>
        <v>0</v>
      </c>
      <c r="N559" s="616">
        <f t="shared" si="100"/>
        <v>0</v>
      </c>
      <c r="O559" s="616">
        <f t="shared" si="100"/>
        <v>34747</v>
      </c>
      <c r="P559" s="506"/>
    </row>
    <row r="560" spans="1:16" ht="25.5" customHeight="1">
      <c r="A560" s="513"/>
      <c r="B560" s="514" t="s">
        <v>316</v>
      </c>
      <c r="C560" s="515" t="s">
        <v>632</v>
      </c>
      <c r="D560" s="1935" t="s">
        <v>570</v>
      </c>
      <c r="E560" s="1936"/>
      <c r="F560" s="1937"/>
      <c r="G560" s="516"/>
      <c r="H560" s="501"/>
      <c r="I560" s="515"/>
      <c r="J560" s="501"/>
      <c r="K560" s="535"/>
      <c r="L560" s="501"/>
      <c r="M560" s="501"/>
      <c r="N560" s="501"/>
      <c r="O560" s="569"/>
      <c r="P560" s="507"/>
    </row>
    <row r="561" spans="1:16" ht="12" customHeight="1">
      <c r="A561" s="609"/>
      <c r="B561" s="518"/>
      <c r="C561" s="611"/>
      <c r="D561" s="468" t="s">
        <v>864</v>
      </c>
      <c r="E561" s="612"/>
      <c r="F561" s="612"/>
      <c r="G561" s="613">
        <v>35173</v>
      </c>
      <c r="H561" s="521"/>
      <c r="I561" s="611"/>
      <c r="J561" s="521"/>
      <c r="K561" s="614">
        <f>SUM(E561:J561)</f>
        <v>35173</v>
      </c>
      <c r="L561" s="521"/>
      <c r="M561" s="521"/>
      <c r="N561" s="521"/>
      <c r="O561" s="615">
        <f>SUM(K561:N561)</f>
        <v>35173</v>
      </c>
      <c r="P561" s="608"/>
    </row>
    <row r="562" spans="1:16" ht="12" customHeight="1">
      <c r="A562" s="609"/>
      <c r="B562" s="518"/>
      <c r="C562" s="611"/>
      <c r="D562" s="468" t="s">
        <v>865</v>
      </c>
      <c r="E562" s="612"/>
      <c r="F562" s="612"/>
      <c r="G562" s="613">
        <v>35173</v>
      </c>
      <c r="H562" s="521"/>
      <c r="I562" s="611"/>
      <c r="J562" s="521"/>
      <c r="K562" s="614">
        <f aca="true" t="shared" si="101" ref="K562:K567">SUM(E562:J562)</f>
        <v>35173</v>
      </c>
      <c r="L562" s="521"/>
      <c r="M562" s="521"/>
      <c r="N562" s="521"/>
      <c r="O562" s="615">
        <f aca="true" t="shared" si="102" ref="O562:O567">SUM(K562:N562)</f>
        <v>35173</v>
      </c>
      <c r="P562" s="608"/>
    </row>
    <row r="563" spans="1:16" ht="12" customHeight="1">
      <c r="A563" s="609"/>
      <c r="B563" s="518"/>
      <c r="C563" s="611"/>
      <c r="D563" s="461" t="s">
        <v>866</v>
      </c>
      <c r="E563" s="612"/>
      <c r="F563" s="612"/>
      <c r="G563" s="613">
        <v>34291</v>
      </c>
      <c r="H563" s="521"/>
      <c r="I563" s="611"/>
      <c r="J563" s="521"/>
      <c r="K563" s="614">
        <f t="shared" si="101"/>
        <v>34291</v>
      </c>
      <c r="L563" s="521"/>
      <c r="M563" s="521"/>
      <c r="N563" s="521"/>
      <c r="O563" s="615">
        <f t="shared" si="102"/>
        <v>34291</v>
      </c>
      <c r="P563" s="608"/>
    </row>
    <row r="564" spans="1:16" ht="12" customHeight="1">
      <c r="A564" s="609"/>
      <c r="B564" s="518" t="s">
        <v>318</v>
      </c>
      <c r="C564" s="611" t="s">
        <v>632</v>
      </c>
      <c r="D564" s="636" t="s">
        <v>571</v>
      </c>
      <c r="E564" s="521"/>
      <c r="F564" s="521"/>
      <c r="G564" s="613"/>
      <c r="H564" s="521"/>
      <c r="I564" s="611"/>
      <c r="J564" s="521"/>
      <c r="K564" s="614"/>
      <c r="L564" s="521"/>
      <c r="M564" s="521"/>
      <c r="N564" s="521"/>
      <c r="O564" s="615"/>
      <c r="P564" s="608"/>
    </row>
    <row r="565" spans="1:16" ht="12" customHeight="1">
      <c r="A565" s="513"/>
      <c r="B565" s="514"/>
      <c r="C565" s="515"/>
      <c r="D565" s="468" t="s">
        <v>864</v>
      </c>
      <c r="E565" s="501"/>
      <c r="F565" s="501"/>
      <c r="G565" s="516">
        <v>604</v>
      </c>
      <c r="H565" s="501"/>
      <c r="I565" s="515"/>
      <c r="J565" s="501"/>
      <c r="K565" s="614">
        <f t="shared" si="101"/>
        <v>604</v>
      </c>
      <c r="L565" s="501"/>
      <c r="M565" s="501"/>
      <c r="N565" s="501"/>
      <c r="O565" s="615">
        <f t="shared" si="102"/>
        <v>604</v>
      </c>
      <c r="P565" s="507"/>
    </row>
    <row r="566" spans="1:16" ht="12" customHeight="1">
      <c r="A566" s="513"/>
      <c r="B566" s="514"/>
      <c r="C566" s="515"/>
      <c r="D566" s="468" t="s">
        <v>865</v>
      </c>
      <c r="E566" s="501"/>
      <c r="F566" s="501"/>
      <c r="G566" s="516">
        <v>604</v>
      </c>
      <c r="H566" s="501"/>
      <c r="I566" s="515"/>
      <c r="J566" s="501"/>
      <c r="K566" s="614">
        <f t="shared" si="101"/>
        <v>604</v>
      </c>
      <c r="L566" s="501"/>
      <c r="M566" s="501"/>
      <c r="N566" s="501"/>
      <c r="O566" s="615">
        <f t="shared" si="102"/>
        <v>604</v>
      </c>
      <c r="P566" s="507"/>
    </row>
    <row r="567" spans="1:16" ht="12" customHeight="1" thickBot="1">
      <c r="A567" s="623"/>
      <c r="B567" s="624"/>
      <c r="C567" s="625"/>
      <c r="D567" s="461" t="s">
        <v>866</v>
      </c>
      <c r="E567" s="626"/>
      <c r="F567" s="626"/>
      <c r="G567" s="637">
        <v>456</v>
      </c>
      <c r="H567" s="626"/>
      <c r="I567" s="625"/>
      <c r="J567" s="626"/>
      <c r="K567" s="614">
        <f t="shared" si="101"/>
        <v>456</v>
      </c>
      <c r="L567" s="626"/>
      <c r="M567" s="626"/>
      <c r="N567" s="626"/>
      <c r="O567" s="615">
        <f t="shared" si="102"/>
        <v>456</v>
      </c>
      <c r="P567" s="512"/>
    </row>
    <row r="568" spans="1:16" ht="12.75" customHeight="1">
      <c r="A568" s="564" t="s">
        <v>612</v>
      </c>
      <c r="B568" s="565" t="s">
        <v>316</v>
      </c>
      <c r="C568" s="566" t="s">
        <v>632</v>
      </c>
      <c r="D568" s="598" t="s">
        <v>524</v>
      </c>
      <c r="E568" s="530"/>
      <c r="F568" s="530"/>
      <c r="G568" s="530"/>
      <c r="H568" s="530"/>
      <c r="I568" s="568"/>
      <c r="J568" s="530"/>
      <c r="K568" s="530"/>
      <c r="L568" s="530"/>
      <c r="M568" s="530"/>
      <c r="N568" s="530"/>
      <c r="O568" s="567"/>
      <c r="P568" s="531"/>
    </row>
    <row r="569" spans="1:16" ht="12.75" customHeight="1">
      <c r="A569" s="513"/>
      <c r="B569" s="514"/>
      <c r="C569" s="515"/>
      <c r="D569" s="468" t="s">
        <v>864</v>
      </c>
      <c r="E569" s="535"/>
      <c r="F569" s="535"/>
      <c r="G569" s="535">
        <v>252</v>
      </c>
      <c r="H569" s="535"/>
      <c r="I569" s="597"/>
      <c r="J569" s="535"/>
      <c r="K569" s="535">
        <v>252</v>
      </c>
      <c r="L569" s="535"/>
      <c r="M569" s="535"/>
      <c r="N569" s="535"/>
      <c r="O569" s="569">
        <v>252</v>
      </c>
      <c r="P569" s="507"/>
    </row>
    <row r="570" spans="1:16" ht="12.75" customHeight="1">
      <c r="A570" s="513"/>
      <c r="B570" s="514"/>
      <c r="C570" s="515"/>
      <c r="D570" s="468" t="s">
        <v>865</v>
      </c>
      <c r="E570" s="535"/>
      <c r="F570" s="535"/>
      <c r="G570" s="535">
        <v>252</v>
      </c>
      <c r="H570" s="535"/>
      <c r="I570" s="597"/>
      <c r="J570" s="535"/>
      <c r="K570" s="535">
        <v>252</v>
      </c>
      <c r="L570" s="535"/>
      <c r="M570" s="535"/>
      <c r="N570" s="535"/>
      <c r="O570" s="569">
        <v>252</v>
      </c>
      <c r="P570" s="507"/>
    </row>
    <row r="571" spans="1:16" ht="12.75" customHeight="1" thickBot="1">
      <c r="A571" s="623"/>
      <c r="B571" s="624"/>
      <c r="C571" s="625"/>
      <c r="D571" s="461" t="s">
        <v>866</v>
      </c>
      <c r="E571" s="631"/>
      <c r="F571" s="631"/>
      <c r="G571" s="631">
        <v>125</v>
      </c>
      <c r="H571" s="631"/>
      <c r="I571" s="645"/>
      <c r="J571" s="631"/>
      <c r="K571" s="631">
        <v>125</v>
      </c>
      <c r="L571" s="631"/>
      <c r="M571" s="631"/>
      <c r="N571" s="631"/>
      <c r="O571" s="632">
        <v>125</v>
      </c>
      <c r="P571" s="512"/>
    </row>
    <row r="572" spans="1:16" s="24" customFormat="1" ht="12" customHeight="1">
      <c r="A572" s="564" t="s">
        <v>613</v>
      </c>
      <c r="B572" s="565" t="s">
        <v>316</v>
      </c>
      <c r="C572" s="566" t="s">
        <v>631</v>
      </c>
      <c r="D572" s="598" t="s">
        <v>525</v>
      </c>
      <c r="E572" s="530"/>
      <c r="F572" s="530"/>
      <c r="G572" s="530"/>
      <c r="H572" s="530"/>
      <c r="I572" s="568"/>
      <c r="J572" s="530"/>
      <c r="K572" s="530"/>
      <c r="L572" s="530"/>
      <c r="M572" s="530"/>
      <c r="N572" s="530"/>
      <c r="O572" s="567"/>
      <c r="P572" s="531"/>
    </row>
    <row r="573" spans="1:16" s="24" customFormat="1" ht="12" customHeight="1">
      <c r="A573" s="532"/>
      <c r="B573" s="514"/>
      <c r="C573" s="515"/>
      <c r="D573" s="468" t="s">
        <v>864</v>
      </c>
      <c r="E573" s="535"/>
      <c r="F573" s="535"/>
      <c r="G573" s="535">
        <v>1738</v>
      </c>
      <c r="H573" s="535"/>
      <c r="I573" s="597"/>
      <c r="J573" s="535"/>
      <c r="K573" s="535">
        <v>1738</v>
      </c>
      <c r="L573" s="535"/>
      <c r="M573" s="535"/>
      <c r="N573" s="535"/>
      <c r="O573" s="569">
        <v>1738</v>
      </c>
      <c r="P573" s="507"/>
    </row>
    <row r="574" spans="1:16" s="24" customFormat="1" ht="12" customHeight="1">
      <c r="A574" s="532"/>
      <c r="B574" s="514"/>
      <c r="C574" s="515"/>
      <c r="D574" s="468" t="s">
        <v>865</v>
      </c>
      <c r="E574" s="535"/>
      <c r="F574" s="535"/>
      <c r="G574" s="535">
        <v>1738</v>
      </c>
      <c r="H574" s="535"/>
      <c r="I574" s="597"/>
      <c r="J574" s="535"/>
      <c r="K574" s="535">
        <v>1738</v>
      </c>
      <c r="L574" s="535"/>
      <c r="M574" s="535"/>
      <c r="N574" s="535"/>
      <c r="O574" s="569">
        <v>1738</v>
      </c>
      <c r="P574" s="507"/>
    </row>
    <row r="575" spans="1:16" s="24" customFormat="1" ht="12" customHeight="1" thickBot="1">
      <c r="A575" s="657"/>
      <c r="B575" s="624"/>
      <c r="C575" s="625"/>
      <c r="D575" s="461" t="s">
        <v>866</v>
      </c>
      <c r="E575" s="631"/>
      <c r="F575" s="631"/>
      <c r="G575" s="631">
        <v>1123</v>
      </c>
      <c r="H575" s="631"/>
      <c r="I575" s="645"/>
      <c r="J575" s="631"/>
      <c r="K575" s="631">
        <v>1123</v>
      </c>
      <c r="L575" s="631"/>
      <c r="M575" s="631"/>
      <c r="N575" s="631"/>
      <c r="O575" s="632">
        <v>1123</v>
      </c>
      <c r="P575" s="512"/>
    </row>
    <row r="576" spans="1:16" s="24" customFormat="1" ht="12" customHeight="1">
      <c r="A576" s="528" t="s">
        <v>615</v>
      </c>
      <c r="B576" s="565" t="s">
        <v>316</v>
      </c>
      <c r="C576" s="566" t="s">
        <v>632</v>
      </c>
      <c r="D576" s="658" t="s">
        <v>787</v>
      </c>
      <c r="E576" s="530"/>
      <c r="F576" s="530"/>
      <c r="G576" s="530"/>
      <c r="H576" s="530"/>
      <c r="I576" s="568"/>
      <c r="J576" s="530"/>
      <c r="K576" s="530"/>
      <c r="L576" s="530"/>
      <c r="M576" s="530"/>
      <c r="N576" s="530"/>
      <c r="O576" s="567"/>
      <c r="P576" s="531"/>
    </row>
    <row r="577" spans="1:16" s="24" customFormat="1" ht="12" customHeight="1">
      <c r="A577" s="532"/>
      <c r="B577" s="514"/>
      <c r="C577" s="515"/>
      <c r="D577" s="468" t="s">
        <v>864</v>
      </c>
      <c r="E577" s="535"/>
      <c r="F577" s="535"/>
      <c r="G577" s="535"/>
      <c r="H577" s="535"/>
      <c r="I577" s="597">
        <v>530</v>
      </c>
      <c r="J577" s="535"/>
      <c r="K577" s="535">
        <v>530</v>
      </c>
      <c r="L577" s="535"/>
      <c r="M577" s="535"/>
      <c r="N577" s="535"/>
      <c r="O577" s="569">
        <v>530</v>
      </c>
      <c r="P577" s="507"/>
    </row>
    <row r="578" spans="1:16" s="24" customFormat="1" ht="12" customHeight="1">
      <c r="A578" s="532"/>
      <c r="B578" s="514"/>
      <c r="C578" s="515"/>
      <c r="D578" s="468" t="s">
        <v>865</v>
      </c>
      <c r="E578" s="535"/>
      <c r="F578" s="535"/>
      <c r="G578" s="535"/>
      <c r="H578" s="535"/>
      <c r="I578" s="597">
        <v>530</v>
      </c>
      <c r="J578" s="535"/>
      <c r="K578" s="535">
        <v>530</v>
      </c>
      <c r="L578" s="535"/>
      <c r="M578" s="535"/>
      <c r="N578" s="535"/>
      <c r="O578" s="569">
        <v>530</v>
      </c>
      <c r="P578" s="507"/>
    </row>
    <row r="579" spans="1:16" s="24" customFormat="1" ht="12" customHeight="1" thickBot="1">
      <c r="A579" s="666"/>
      <c r="B579" s="543"/>
      <c r="C579" s="572"/>
      <c r="D579" s="573" t="s">
        <v>866</v>
      </c>
      <c r="E579" s="575"/>
      <c r="F579" s="575"/>
      <c r="G579" s="575"/>
      <c r="H579" s="575"/>
      <c r="I579" s="600">
        <v>530</v>
      </c>
      <c r="J579" s="575"/>
      <c r="K579" s="575">
        <v>530</v>
      </c>
      <c r="L579" s="575"/>
      <c r="M579" s="575"/>
      <c r="N579" s="575"/>
      <c r="O579" s="601">
        <v>530</v>
      </c>
      <c r="P579" s="576"/>
    </row>
    <row r="580" spans="1:16" s="24" customFormat="1" ht="12.75" customHeight="1">
      <c r="A580" s="665" t="s">
        <v>614</v>
      </c>
      <c r="B580" s="590"/>
      <c r="C580" s="539"/>
      <c r="D580" s="691" t="s">
        <v>788</v>
      </c>
      <c r="E580" s="540"/>
      <c r="F580" s="540"/>
      <c r="G580" s="540"/>
      <c r="H580" s="540"/>
      <c r="I580" s="628"/>
      <c r="J580" s="540"/>
      <c r="K580" s="540"/>
      <c r="L580" s="540"/>
      <c r="M580" s="540"/>
      <c r="N580" s="540"/>
      <c r="O580" s="591"/>
      <c r="P580" s="604"/>
    </row>
    <row r="581" spans="1:16" s="24" customFormat="1" ht="10.5" customHeight="1">
      <c r="A581" s="532"/>
      <c r="B581" s="514"/>
      <c r="C581" s="515"/>
      <c r="D581" s="468" t="s">
        <v>864</v>
      </c>
      <c r="E581" s="535">
        <f>E585+E589</f>
        <v>0</v>
      </c>
      <c r="F581" s="535">
        <f aca="true" t="shared" si="103" ref="F581:O581">F585+F589</f>
        <v>0</v>
      </c>
      <c r="G581" s="535">
        <f t="shared" si="103"/>
        <v>0</v>
      </c>
      <c r="H581" s="535">
        <f t="shared" si="103"/>
        <v>0</v>
      </c>
      <c r="I581" s="535">
        <f t="shared" si="103"/>
        <v>960</v>
      </c>
      <c r="J581" s="535">
        <f t="shared" si="103"/>
        <v>0</v>
      </c>
      <c r="K581" s="535">
        <f t="shared" si="103"/>
        <v>960</v>
      </c>
      <c r="L581" s="535">
        <f t="shared" si="103"/>
        <v>0</v>
      </c>
      <c r="M581" s="535">
        <f t="shared" si="103"/>
        <v>0</v>
      </c>
      <c r="N581" s="535">
        <f t="shared" si="103"/>
        <v>0</v>
      </c>
      <c r="O581" s="535">
        <f t="shared" si="103"/>
        <v>960</v>
      </c>
      <c r="P581" s="507"/>
    </row>
    <row r="582" spans="1:16" s="24" customFormat="1" ht="10.5" customHeight="1">
      <c r="A582" s="532"/>
      <c r="B582" s="514"/>
      <c r="C582" s="515"/>
      <c r="D582" s="468" t="s">
        <v>865</v>
      </c>
      <c r="E582" s="535">
        <f aca="true" t="shared" si="104" ref="E582:O583">E586+E590</f>
        <v>0</v>
      </c>
      <c r="F582" s="535">
        <f t="shared" si="104"/>
        <v>0</v>
      </c>
      <c r="G582" s="535">
        <f t="shared" si="104"/>
        <v>0</v>
      </c>
      <c r="H582" s="535">
        <f t="shared" si="104"/>
        <v>0</v>
      </c>
      <c r="I582" s="535">
        <f t="shared" si="104"/>
        <v>960</v>
      </c>
      <c r="J582" s="535">
        <f t="shared" si="104"/>
        <v>0</v>
      </c>
      <c r="K582" s="535">
        <f t="shared" si="104"/>
        <v>960</v>
      </c>
      <c r="L582" s="535">
        <f t="shared" si="104"/>
        <v>0</v>
      </c>
      <c r="M582" s="535">
        <f t="shared" si="104"/>
        <v>0</v>
      </c>
      <c r="N582" s="535">
        <f t="shared" si="104"/>
        <v>0</v>
      </c>
      <c r="O582" s="535">
        <f t="shared" si="104"/>
        <v>960</v>
      </c>
      <c r="P582" s="507"/>
    </row>
    <row r="583" spans="1:16" s="24" customFormat="1" ht="10.5" customHeight="1">
      <c r="A583" s="532"/>
      <c r="B583" s="514"/>
      <c r="C583" s="515"/>
      <c r="D583" s="468" t="s">
        <v>866</v>
      </c>
      <c r="E583" s="535">
        <f t="shared" si="104"/>
        <v>0</v>
      </c>
      <c r="F583" s="535">
        <f t="shared" si="104"/>
        <v>0</v>
      </c>
      <c r="G583" s="535">
        <f t="shared" si="104"/>
        <v>0</v>
      </c>
      <c r="H583" s="535">
        <f t="shared" si="104"/>
        <v>0</v>
      </c>
      <c r="I583" s="535">
        <f t="shared" si="104"/>
        <v>960</v>
      </c>
      <c r="J583" s="535">
        <f t="shared" si="104"/>
        <v>0</v>
      </c>
      <c r="K583" s="535">
        <f t="shared" si="104"/>
        <v>960</v>
      </c>
      <c r="L583" s="535">
        <f t="shared" si="104"/>
        <v>0</v>
      </c>
      <c r="M583" s="535">
        <f t="shared" si="104"/>
        <v>0</v>
      </c>
      <c r="N583" s="535">
        <f t="shared" si="104"/>
        <v>0</v>
      </c>
      <c r="O583" s="535">
        <f t="shared" si="104"/>
        <v>960</v>
      </c>
      <c r="P583" s="507"/>
    </row>
    <row r="584" spans="1:16" s="24" customFormat="1" ht="12" customHeight="1">
      <c r="A584" s="532"/>
      <c r="B584" s="514" t="s">
        <v>316</v>
      </c>
      <c r="C584" s="515" t="s">
        <v>632</v>
      </c>
      <c r="D584" s="659" t="s">
        <v>790</v>
      </c>
      <c r="E584" s="535"/>
      <c r="F584" s="535"/>
      <c r="G584" s="535"/>
      <c r="H584" s="535"/>
      <c r="I584" s="515"/>
      <c r="J584" s="535"/>
      <c r="K584" s="535"/>
      <c r="L584" s="535"/>
      <c r="M584" s="535"/>
      <c r="N584" s="535"/>
      <c r="O584" s="569"/>
      <c r="P584" s="507"/>
    </row>
    <row r="585" spans="1:16" s="24" customFormat="1" ht="12" customHeight="1">
      <c r="A585" s="532"/>
      <c r="B585" s="514"/>
      <c r="C585" s="515"/>
      <c r="D585" s="468" t="s">
        <v>864</v>
      </c>
      <c r="E585" s="535"/>
      <c r="F585" s="535"/>
      <c r="G585" s="535"/>
      <c r="H585" s="535"/>
      <c r="I585" s="515">
        <v>530</v>
      </c>
      <c r="J585" s="535"/>
      <c r="K585" s="535">
        <f>SUM(E585:J585)</f>
        <v>530</v>
      </c>
      <c r="L585" s="535"/>
      <c r="M585" s="535"/>
      <c r="N585" s="535"/>
      <c r="O585" s="569">
        <f>SUM(K585:N585)</f>
        <v>530</v>
      </c>
      <c r="P585" s="507"/>
    </row>
    <row r="586" spans="1:16" s="24" customFormat="1" ht="12" customHeight="1">
      <c r="A586" s="532"/>
      <c r="B586" s="514"/>
      <c r="C586" s="515"/>
      <c r="D586" s="468" t="s">
        <v>865</v>
      </c>
      <c r="E586" s="535"/>
      <c r="F586" s="535"/>
      <c r="G586" s="535"/>
      <c r="H586" s="535"/>
      <c r="I586" s="515">
        <v>530</v>
      </c>
      <c r="J586" s="535"/>
      <c r="K586" s="535">
        <f>SUM(E586:J586)</f>
        <v>530</v>
      </c>
      <c r="L586" s="535"/>
      <c r="M586" s="535"/>
      <c r="N586" s="535"/>
      <c r="O586" s="569">
        <f aca="true" t="shared" si="105" ref="O586:O591">SUM(K586:N586)</f>
        <v>530</v>
      </c>
      <c r="P586" s="507"/>
    </row>
    <row r="587" spans="1:16" s="24" customFormat="1" ht="12" customHeight="1">
      <c r="A587" s="532"/>
      <c r="B587" s="514"/>
      <c r="C587" s="515"/>
      <c r="D587" s="468" t="s">
        <v>866</v>
      </c>
      <c r="E587" s="535"/>
      <c r="F587" s="535"/>
      <c r="G587" s="535"/>
      <c r="H587" s="535"/>
      <c r="I587" s="515">
        <v>530</v>
      </c>
      <c r="J587" s="535"/>
      <c r="K587" s="535">
        <f>SUM(E587:J587)</f>
        <v>530</v>
      </c>
      <c r="L587" s="535"/>
      <c r="M587" s="535"/>
      <c r="N587" s="535"/>
      <c r="O587" s="569">
        <f t="shared" si="105"/>
        <v>530</v>
      </c>
      <c r="P587" s="507"/>
    </row>
    <row r="588" spans="1:16" s="24" customFormat="1" ht="12" customHeight="1">
      <c r="A588" s="491"/>
      <c r="B588" s="508" t="s">
        <v>318</v>
      </c>
      <c r="C588" s="509" t="s">
        <v>632</v>
      </c>
      <c r="D588" s="660" t="s">
        <v>792</v>
      </c>
      <c r="E588" s="537"/>
      <c r="F588" s="537"/>
      <c r="G588" s="537"/>
      <c r="H588" s="537"/>
      <c r="I588" s="509"/>
      <c r="J588" s="537"/>
      <c r="K588" s="535"/>
      <c r="L588" s="537"/>
      <c r="M588" s="537"/>
      <c r="N588" s="537"/>
      <c r="O588" s="569"/>
      <c r="P588" s="512"/>
    </row>
    <row r="589" spans="1:16" s="24" customFormat="1" ht="12" customHeight="1">
      <c r="A589" s="532"/>
      <c r="B589" s="514"/>
      <c r="C589" s="515"/>
      <c r="D589" s="468" t="s">
        <v>864</v>
      </c>
      <c r="E589" s="535"/>
      <c r="F589" s="535"/>
      <c r="G589" s="535"/>
      <c r="H589" s="535"/>
      <c r="I589" s="515">
        <v>430</v>
      </c>
      <c r="J589" s="535"/>
      <c r="K589" s="535">
        <f>SUM(E589:J589)</f>
        <v>430</v>
      </c>
      <c r="L589" s="535"/>
      <c r="M589" s="535"/>
      <c r="N589" s="535"/>
      <c r="O589" s="569">
        <f t="shared" si="105"/>
        <v>430</v>
      </c>
      <c r="P589" s="507"/>
    </row>
    <row r="590" spans="1:16" s="24" customFormat="1" ht="12" customHeight="1">
      <c r="A590" s="532"/>
      <c r="B590" s="514"/>
      <c r="C590" s="515"/>
      <c r="D590" s="468" t="s">
        <v>865</v>
      </c>
      <c r="E590" s="535"/>
      <c r="F590" s="535"/>
      <c r="G590" s="535"/>
      <c r="H590" s="535"/>
      <c r="I590" s="515">
        <v>430</v>
      </c>
      <c r="J590" s="535"/>
      <c r="K590" s="535">
        <f>SUM(E590:J590)</f>
        <v>430</v>
      </c>
      <c r="L590" s="535"/>
      <c r="M590" s="535"/>
      <c r="N590" s="535"/>
      <c r="O590" s="569">
        <f t="shared" si="105"/>
        <v>430</v>
      </c>
      <c r="P590" s="507"/>
    </row>
    <row r="591" spans="1:16" s="24" customFormat="1" ht="12" customHeight="1" thickBot="1">
      <c r="A591" s="657"/>
      <c r="B591" s="624"/>
      <c r="C591" s="625"/>
      <c r="D591" s="461" t="s">
        <v>866</v>
      </c>
      <c r="E591" s="631"/>
      <c r="F591" s="631"/>
      <c r="G591" s="631"/>
      <c r="H591" s="631"/>
      <c r="I591" s="625">
        <v>430</v>
      </c>
      <c r="J591" s="631"/>
      <c r="K591" s="631">
        <f>SUM(E591:J591)</f>
        <v>430</v>
      </c>
      <c r="L591" s="631"/>
      <c r="M591" s="631"/>
      <c r="N591" s="631"/>
      <c r="O591" s="569">
        <f t="shared" si="105"/>
        <v>430</v>
      </c>
      <c r="P591" s="512"/>
    </row>
    <row r="592" spans="1:16" s="24" customFormat="1" ht="12" customHeight="1">
      <c r="A592" s="528" t="s">
        <v>789</v>
      </c>
      <c r="B592" s="565" t="s">
        <v>316</v>
      </c>
      <c r="C592" s="566" t="s">
        <v>632</v>
      </c>
      <c r="D592" s="658" t="s">
        <v>793</v>
      </c>
      <c r="E592" s="530"/>
      <c r="F592" s="530"/>
      <c r="G592" s="530"/>
      <c r="H592" s="530"/>
      <c r="I592" s="568"/>
      <c r="J592" s="530"/>
      <c r="K592" s="530"/>
      <c r="L592" s="530"/>
      <c r="M592" s="530"/>
      <c r="N592" s="530"/>
      <c r="O592" s="567"/>
      <c r="P592" s="531"/>
    </row>
    <row r="593" spans="1:16" s="24" customFormat="1" ht="12" customHeight="1">
      <c r="A593" s="532"/>
      <c r="B593" s="514"/>
      <c r="C593" s="515"/>
      <c r="D593" s="468" t="s">
        <v>864</v>
      </c>
      <c r="E593" s="535"/>
      <c r="F593" s="535"/>
      <c r="G593" s="535"/>
      <c r="H593" s="535"/>
      <c r="I593" s="597">
        <v>100</v>
      </c>
      <c r="J593" s="535"/>
      <c r="K593" s="535">
        <v>100</v>
      </c>
      <c r="L593" s="535"/>
      <c r="M593" s="535"/>
      <c r="N593" s="535"/>
      <c r="O593" s="569">
        <v>100</v>
      </c>
      <c r="P593" s="507"/>
    </row>
    <row r="594" spans="1:16" s="24" customFormat="1" ht="12" customHeight="1">
      <c r="A594" s="532"/>
      <c r="B594" s="514"/>
      <c r="C594" s="515"/>
      <c r="D594" s="468" t="s">
        <v>865</v>
      </c>
      <c r="E594" s="535"/>
      <c r="F594" s="535"/>
      <c r="G594" s="535"/>
      <c r="H594" s="535"/>
      <c r="I594" s="597">
        <v>100</v>
      </c>
      <c r="J594" s="535"/>
      <c r="K594" s="535">
        <v>100</v>
      </c>
      <c r="L594" s="535"/>
      <c r="M594" s="535"/>
      <c r="N594" s="535"/>
      <c r="O594" s="569">
        <v>100</v>
      </c>
      <c r="P594" s="507"/>
    </row>
    <row r="595" spans="1:16" s="24" customFormat="1" ht="12" customHeight="1" thickBot="1">
      <c r="A595" s="657"/>
      <c r="B595" s="624"/>
      <c r="C595" s="625"/>
      <c r="D595" s="461" t="s">
        <v>866</v>
      </c>
      <c r="E595" s="631"/>
      <c r="F595" s="631"/>
      <c r="G595" s="631"/>
      <c r="H595" s="631"/>
      <c r="I595" s="645">
        <v>0</v>
      </c>
      <c r="J595" s="631"/>
      <c r="K595" s="631">
        <v>0</v>
      </c>
      <c r="L595" s="631"/>
      <c r="M595" s="631"/>
      <c r="N595" s="631"/>
      <c r="O595" s="632">
        <v>0</v>
      </c>
      <c r="P595" s="512"/>
    </row>
    <row r="596" spans="1:16" s="24" customFormat="1" ht="12" customHeight="1">
      <c r="A596" s="528">
        <v>42</v>
      </c>
      <c r="B596" s="565">
        <v>1</v>
      </c>
      <c r="C596" s="566" t="s">
        <v>632</v>
      </c>
      <c r="D596" s="658" t="s">
        <v>845</v>
      </c>
      <c r="E596" s="530"/>
      <c r="F596" s="530"/>
      <c r="G596" s="530"/>
      <c r="H596" s="530"/>
      <c r="I596" s="568"/>
      <c r="J596" s="530"/>
      <c r="K596" s="530"/>
      <c r="L596" s="530"/>
      <c r="M596" s="530"/>
      <c r="N596" s="530"/>
      <c r="O596" s="567"/>
      <c r="P596" s="531"/>
    </row>
    <row r="597" spans="1:16" s="24" customFormat="1" ht="12" customHeight="1">
      <c r="A597" s="532"/>
      <c r="B597" s="514"/>
      <c r="C597" s="661"/>
      <c r="D597" s="468" t="s">
        <v>864</v>
      </c>
      <c r="E597" s="535"/>
      <c r="F597" s="535"/>
      <c r="G597" s="535"/>
      <c r="H597" s="535"/>
      <c r="I597" s="597">
        <v>0</v>
      </c>
      <c r="J597" s="535"/>
      <c r="K597" s="535">
        <v>0</v>
      </c>
      <c r="L597" s="535"/>
      <c r="M597" s="535"/>
      <c r="N597" s="535"/>
      <c r="O597" s="569">
        <v>0</v>
      </c>
      <c r="P597" s="507"/>
    </row>
    <row r="598" spans="1:16" s="24" customFormat="1" ht="12" customHeight="1">
      <c r="A598" s="532"/>
      <c r="B598" s="514"/>
      <c r="C598" s="661"/>
      <c r="D598" s="468" t="s">
        <v>865</v>
      </c>
      <c r="E598" s="535"/>
      <c r="F598" s="535"/>
      <c r="G598" s="535"/>
      <c r="H598" s="535"/>
      <c r="I598" s="597">
        <v>670</v>
      </c>
      <c r="J598" s="535"/>
      <c r="K598" s="535">
        <v>670</v>
      </c>
      <c r="L598" s="535"/>
      <c r="M598" s="535"/>
      <c r="N598" s="535"/>
      <c r="O598" s="569">
        <v>670</v>
      </c>
      <c r="P598" s="507"/>
    </row>
    <row r="599" spans="1:16" s="24" customFormat="1" ht="12" customHeight="1" thickBot="1">
      <c r="A599" s="666"/>
      <c r="B599" s="543"/>
      <c r="C599" s="894"/>
      <c r="D599" s="573" t="s">
        <v>866</v>
      </c>
      <c r="E599" s="575"/>
      <c r="F599" s="575"/>
      <c r="G599" s="575"/>
      <c r="H599" s="575"/>
      <c r="I599" s="600">
        <f>40+100+200+180+150</f>
        <v>670</v>
      </c>
      <c r="J599" s="575"/>
      <c r="K599" s="575">
        <v>670</v>
      </c>
      <c r="L599" s="575"/>
      <c r="M599" s="575"/>
      <c r="N599" s="575"/>
      <c r="O599" s="601">
        <v>670</v>
      </c>
      <c r="P599" s="576"/>
    </row>
    <row r="600" spans="1:16" s="24" customFormat="1" ht="12" customHeight="1" thickBot="1">
      <c r="A600" s="1956" t="s">
        <v>846</v>
      </c>
      <c r="B600" s="1957"/>
      <c r="C600" s="1957"/>
      <c r="D600" s="1958"/>
      <c r="E600" s="662"/>
      <c r="F600" s="662"/>
      <c r="G600" s="662"/>
      <c r="H600" s="662"/>
      <c r="I600" s="662"/>
      <c r="J600" s="662"/>
      <c r="K600" s="662"/>
      <c r="L600" s="662"/>
      <c r="M600" s="662"/>
      <c r="N600" s="662"/>
      <c r="O600" s="662"/>
      <c r="P600" s="663"/>
    </row>
    <row r="601" spans="1:16" s="24" customFormat="1" ht="12" customHeight="1">
      <c r="A601" s="528"/>
      <c r="B601" s="489"/>
      <c r="C601" s="529"/>
      <c r="D601" s="426" t="s">
        <v>864</v>
      </c>
      <c r="E601" s="530">
        <f aca="true" t="shared" si="106" ref="E601:J601">E157+E161+E165+E169+E197+E209+E213+E253+E257+E277+E289+E305+E309+E313+E317+E333+E337+E385+E389+E393+E457+E469+E505+E509+E525+E529+E557+E569+E573+E577+E581+E593+E597</f>
        <v>90485</v>
      </c>
      <c r="F601" s="530">
        <f t="shared" si="106"/>
        <v>13223</v>
      </c>
      <c r="G601" s="530">
        <f t="shared" si="106"/>
        <v>311017</v>
      </c>
      <c r="H601" s="530">
        <f t="shared" si="106"/>
        <v>0</v>
      </c>
      <c r="I601" s="530">
        <f t="shared" si="106"/>
        <v>196864</v>
      </c>
      <c r="J601" s="530">
        <f t="shared" si="106"/>
        <v>379682</v>
      </c>
      <c r="K601" s="530">
        <f>SUM(E601:J601)</f>
        <v>991271</v>
      </c>
      <c r="L601" s="530">
        <f>L157+L161+L165+L169+L197+L209+L213+L253+L257+L277+L289+L305+L309+L313+L317+L333+L337+L385+L389+L393+L457+L469+L505+L509+L525+L529+L557+L569+L573+L577+L581+L593+L597</f>
        <v>1750957</v>
      </c>
      <c r="M601" s="530">
        <f>M157+M161+M165+M169+M197+M209+M213+M253+M257+M277+M289+M305+M309+M313+M317+M333+M337+M385+M389+M393+M457+M469+M505+M509+M525+M529+M557+M569+M573+M577+M581+M593+M597</f>
        <v>33858</v>
      </c>
      <c r="N601" s="530">
        <f>N157+N161+N165+N169+N197+N209+N213+N253+N257+N277+N289+N305+N309+N313+N317+N333+N337+N385+N389+N393+N457+N469+N505+N509+N525+N529+N557+N569+N573+N577+N581+N593+N597</f>
        <v>316090</v>
      </c>
      <c r="O601" s="530">
        <f>SUM(K601:N601)</f>
        <v>3092176</v>
      </c>
      <c r="P601" s="531">
        <f>P157+P161+P165+P169+P197+P209+P213+P253+P257+P277+P289+P305+P309+P313+P317+P333+P337+P385+P389+P393+P457+P469+P505+P509+P525+P529+P557+P569+P573+P577+P581+P593+P597</f>
        <v>129</v>
      </c>
    </row>
    <row r="602" spans="1:16" s="24" customFormat="1" ht="12" customHeight="1">
      <c r="A602" s="532"/>
      <c r="B602" s="533"/>
      <c r="C602" s="664"/>
      <c r="D602" s="468" t="s">
        <v>865</v>
      </c>
      <c r="E602" s="535">
        <f aca="true" t="shared" si="107" ref="E602:J603">E158+E162+E166+E170+E194+E198+E210+E214+E254+E258+E278+E290+E306+E310+E314+E318+E334+E338+E386+E390+E394+E458+E470+E506+E510+E526+E530+E558+E570+E574+E578+E582+E594+E598</f>
        <v>90690</v>
      </c>
      <c r="F602" s="535">
        <f t="shared" si="107"/>
        <v>14424</v>
      </c>
      <c r="G602" s="535">
        <f t="shared" si="107"/>
        <v>465012</v>
      </c>
      <c r="H602" s="535">
        <f t="shared" si="107"/>
        <v>0</v>
      </c>
      <c r="I602" s="535">
        <f t="shared" si="107"/>
        <v>199946</v>
      </c>
      <c r="J602" s="535">
        <f t="shared" si="107"/>
        <v>407026</v>
      </c>
      <c r="K602" s="535">
        <f>SUM(E602:J602)</f>
        <v>1177098</v>
      </c>
      <c r="L602" s="535">
        <f>L158+L162+L166+L170+L194+L198+L210+L214+L254+L258+L278+L290+L306+L310+L314+L318+L334+L338+L386+L390+L394+L458+L470+L506+L510+L526+L530+L558+L570+L574+L578+L582+L594+L598</f>
        <v>1839671</v>
      </c>
      <c r="M602" s="535">
        <f>M158+M162+M166+M170+M194+M198+M210+M214+M254+M258+M278+M290+M306+M310+M314+M318+M334+M338+M386+M390+M394+M458+M470+M506+M510+M526+M530+M558+M570+M574+M578+M582+M594+M598</f>
        <v>45071</v>
      </c>
      <c r="N602" s="535">
        <f>N158+N162+N166+N170+N194+N198+N210+N214+N254+N258+N278+N290+N306+N310+N314+N318+N334+N338+N386+N390+N394+N458+N470+N506+N510+N526+N530+N558+N570+N574+N578+N582+N594+N598</f>
        <v>311603</v>
      </c>
      <c r="O602" s="535">
        <f>SUM(K602:N602)</f>
        <v>3373443</v>
      </c>
      <c r="P602" s="507">
        <f>P158+P162+P166+P170+P198+P210+P214+P254+P258+P278+P290+P306+P310+P314+P318+P334+P338+P386+P390+P394+P458+P470+P506+P510+P526+P530+P558+P570+P574+P578+P582+P594+P598</f>
        <v>129</v>
      </c>
    </row>
    <row r="603" spans="1:16" s="24" customFormat="1" ht="12" customHeight="1" thickBot="1">
      <c r="A603" s="491"/>
      <c r="B603" s="494"/>
      <c r="C603" s="536"/>
      <c r="D603" s="461" t="s">
        <v>866</v>
      </c>
      <c r="E603" s="535">
        <f t="shared" si="107"/>
        <v>76066</v>
      </c>
      <c r="F603" s="535">
        <f t="shared" si="107"/>
        <v>12434</v>
      </c>
      <c r="G603" s="535">
        <f t="shared" si="107"/>
        <v>387877</v>
      </c>
      <c r="H603" s="535">
        <f t="shared" si="107"/>
        <v>0</v>
      </c>
      <c r="I603" s="535">
        <f t="shared" si="107"/>
        <v>134815</v>
      </c>
      <c r="J603" s="535">
        <f t="shared" si="107"/>
        <v>401378</v>
      </c>
      <c r="K603" s="616">
        <f>SUM(E603:J603)</f>
        <v>1012570</v>
      </c>
      <c r="L603" s="537">
        <f>L159+L163+L167+L171+L199+L211+L215+L255+L259+L279+L291+L307+L311+L315+L319+L335+L339+L387+L391+L395+L459+L471+L507+L511+L527+L531+L559+L571+L575+L579+L583+L595+L599</f>
        <v>878621</v>
      </c>
      <c r="M603" s="537">
        <f>M159+M163+M167+M171+M199+M211+M215+M255+M259+M279+M291+M307+M311+M315+M319+M335+M339+M387+M391+M395+M459+M471+M507+M511+M527+M531+M559+M571+M575+M579+M583+M595+M599</f>
        <v>17344</v>
      </c>
      <c r="N603" s="537">
        <f>N159+N163+N167+N171+N199+N211+N215+N255+N259+N279+N291+N307+N311+N315+N319+N335+N339+N387+N391+N395+N459+N471+N507+N511+N527+N531+N559+N571+N575+N579+N583+N595+N599</f>
        <v>0</v>
      </c>
      <c r="O603" s="537">
        <f>SUM(K603:N603)</f>
        <v>1908535</v>
      </c>
      <c r="P603" s="512">
        <f>P159+P163+P167+P171+P199+P211+P215+P255+P259+P279+P291+P307+P311+P315+P319+P335+P339+P387+P391+P395+P459+P471+P507+P511+P527+P531+P559+P571+P575+P579+P583+P595+P599</f>
        <v>76</v>
      </c>
    </row>
    <row r="604" spans="1:16" s="82" customFormat="1" ht="12" customHeight="1">
      <c r="A604" s="1930" t="s">
        <v>656</v>
      </c>
      <c r="B604" s="1931"/>
      <c r="C604" s="1931"/>
      <c r="D604" s="1932"/>
      <c r="E604" s="540"/>
      <c r="F604" s="540"/>
      <c r="G604" s="540"/>
      <c r="H604" s="540"/>
      <c r="I604" s="540"/>
      <c r="J604" s="540"/>
      <c r="K604" s="540"/>
      <c r="L604" s="540"/>
      <c r="M604" s="540"/>
      <c r="N604" s="540"/>
      <c r="O604" s="540"/>
      <c r="P604" s="592"/>
    </row>
    <row r="605" spans="1:16" s="82" customFormat="1" ht="12" customHeight="1">
      <c r="A605" s="532"/>
      <c r="B605" s="533"/>
      <c r="C605" s="534"/>
      <c r="D605" s="468" t="s">
        <v>864</v>
      </c>
      <c r="E605" s="535">
        <f aca="true" t="shared" si="108" ref="E605:J605">E157+E161+E165+E177+E197+E209+E233+E265+E281+E289+E305+E329+E333+E349+E385+E397+E401+E405+E409+E413+E421+E425+E429+E433+E437+E441+E445+E449+E453+E457+E473+E477+E481+E489+E493+E573</f>
        <v>1320</v>
      </c>
      <c r="F605" s="535">
        <f t="shared" si="108"/>
        <v>330</v>
      </c>
      <c r="G605" s="535">
        <f t="shared" si="108"/>
        <v>103159</v>
      </c>
      <c r="H605" s="535">
        <f t="shared" si="108"/>
        <v>0</v>
      </c>
      <c r="I605" s="535">
        <f t="shared" si="108"/>
        <v>188463</v>
      </c>
      <c r="J605" s="535">
        <f t="shared" si="108"/>
        <v>277793</v>
      </c>
      <c r="K605" s="535">
        <f>SUM(E605:J605)</f>
        <v>571065</v>
      </c>
      <c r="L605" s="535">
        <f aca="true" t="shared" si="109" ref="L605:N607">L157+L161+L165+L177+L197+L209+L233+L265+L281+L289+L305+L329+L333+L349+L385+L397+L401+L405+L409+L413+L421+L425+L429+L433+L437+L441+L445+L449+L453+L457+L473+L477+L481+L489+L493+L573</f>
        <v>1329626</v>
      </c>
      <c r="M605" s="535">
        <f t="shared" si="109"/>
        <v>24789</v>
      </c>
      <c r="N605" s="535">
        <f t="shared" si="109"/>
        <v>0</v>
      </c>
      <c r="O605" s="535">
        <f>SUM(K605:N605)</f>
        <v>1925480</v>
      </c>
      <c r="P605" s="570">
        <f>P157+P161+P165+P177+P197+P209+P233+P265+P281+P289+P305+P329+P333+P349+P385+P397+P401+P405+P409+P413+P421+P425+P429+P433+P437+P441+P445+P449+P453+P457+P473+P477+P481+P489+P493+P573</f>
        <v>0</v>
      </c>
    </row>
    <row r="606" spans="1:16" s="82" customFormat="1" ht="12" customHeight="1">
      <c r="A606" s="532"/>
      <c r="B606" s="533"/>
      <c r="C606" s="534"/>
      <c r="D606" s="468" t="s">
        <v>865</v>
      </c>
      <c r="E606" s="535">
        <f>E158+E162+E166+E178+E198+E210+E234+E242+E250+E266+E282+E290+E306+E330+E334+E350+E386+E398+E402+E406+E410+E414+E422+E426+E430+E434+E438+E442+E446+E450+E454+E458+E474+E478+E482+E490+E494+E502+E574</f>
        <v>4178</v>
      </c>
      <c r="F606" s="535">
        <f>F158+F162+F166+F178+F198+F210+F234+F242+F250+F266+F282+F290+F306+F330+F334+F350+F386+F398+F402+F406+F410+F414+F422+F426+F430+F434+F438+F442+F446+F450+F454+F458+F474+F478+F482+F490+F494+F502+F574</f>
        <v>1054</v>
      </c>
      <c r="G606" s="535">
        <f>G158+G162+G166+G178+G186+G190+G198+G210+G234+G242+G250+G266+G282+G290+G306+G330+G334+G350+G386+G398+G402+G406+G410+G414+G422+G426+G430+G434+G438+G442+G446+G450+G454+G458+G474+G478+G482+G490+G494+G502+G574</f>
        <v>217488</v>
      </c>
      <c r="H606" s="535">
        <f>H158+H162+H166+H178+H186+H190+H198+H210+H234+H242+H250+H266+H282+H290+H306+H330+H334+H350+H386+H398+H402+H406+H410+H414+H422+H426+H430+H434+H438+H442+H446+H450+H454+H458+H474+H478+H482+H490+H494+H502+H574</f>
        <v>0</v>
      </c>
      <c r="I606" s="535">
        <f>I158+I162+I166+I178+I186+I190+I198+I210+I234+I242+I250+I266+I282+I290+I306+I330+I334+I350+I386+I398+I402+I406+I410+I414+I422+I426+I430+I434+I438+I442+I446+I450+I454+I458+I474+I478+I482+I490+I494+I502+I574</f>
        <v>190675</v>
      </c>
      <c r="J606" s="535">
        <f>J158+J162+J166+J178+J186+J190+J198+J210+J234+J242+J250+J266+J282+J290+J306+J330+J334+J350+J386+J398+J402+J406+J410+J414+J422+J426+J430+J434+J438+J442+J446+J450+J454+J458+J474+J478+J482+J490+J494+J502+J574</f>
        <v>280559</v>
      </c>
      <c r="K606" s="535">
        <f>K158+K162+K166+K178+K186+K190+K198+K210+K234+K242+K250+K266+K282+K290+K306+K330+K334+K350+K386+K398+K402+K406+K410+K414+K422+K426+K430+K434+K438+K442+K446+K450+K454+K458+K474+K478+K482+K490+K494+K502+K574</f>
        <v>693954</v>
      </c>
      <c r="L606" s="535">
        <f t="shared" si="109"/>
        <v>1474036</v>
      </c>
      <c r="M606" s="535">
        <f t="shared" si="109"/>
        <v>30574</v>
      </c>
      <c r="N606" s="535">
        <f t="shared" si="109"/>
        <v>0</v>
      </c>
      <c r="O606" s="535">
        <f>SUM(K606:N606)</f>
        <v>2198564</v>
      </c>
      <c r="P606" s="570">
        <f>P158+P162+P166+P178+P198+P210+P234+P266+P282+P290+P306+P330+P334+P350+P386+P398+P402+P406+P410+P414+P422+P426+P430+P434+P438+P442+P446+P450+P454+P458+P474+P478+P482+P490+P494+P574</f>
        <v>0</v>
      </c>
    </row>
    <row r="607" spans="1:16" s="82" customFormat="1" ht="12" customHeight="1" thickBot="1">
      <c r="A607" s="666"/>
      <c r="B607" s="599"/>
      <c r="C607" s="667"/>
      <c r="D607" s="573" t="s">
        <v>866</v>
      </c>
      <c r="E607" s="575">
        <f>E159+E163+E167+E179+E199+E211+E235+E243+E251+E267+E283+E291+E307+E331+E335+E351+E387+E399+E403+E407+E411+E415+E423+E427+E431+E435+E439+E443+E447+E451+E455+E459+E475+E479+E483+E491+E495+E503+E575</f>
        <v>3359</v>
      </c>
      <c r="F607" s="575">
        <f>F159+F163+F167+F179+F199+F211+F235+F243+F251+F267+F283+F291+F307+F331+F335+F351+F387+F399+F403+F407+F411+F415+F423+F427+F431+F435+F439+F443+F447+F451+F455+F459+F475+F479+F483+F491+F495+F503+F575</f>
        <v>873</v>
      </c>
      <c r="G607" s="575">
        <f>G159+G163+G167+G179+G187+G191+G199+G211+G235+G243+G251+G267+G283+G291+G307+G331+G335+G351+G387+G399+G403+G407+G411+G415+G423+G427+G431+G435+G439+G443+G447+G451+G455+G459+G475+G479+G483+G491+G495+G503+G575</f>
        <v>190222</v>
      </c>
      <c r="H607" s="575">
        <f>H159+H163+H167+H179+H199+H211+H235+H243+H251+H267+H283+H291+H307+H331+H335+H351+H387+H399+H403+H407+H411+H415+H423+H427+H431+H435+H439+H443+H447+H451+H455+H459+H475+H479+H483+H491+H495+H503+H575</f>
        <v>0</v>
      </c>
      <c r="I607" s="575">
        <f>I159+I163+I167+I179+I199+I211+I235+I243+I251+I267+I283+I291+I307+I331+I335+I351+I387+I399+I403+I407+I411+I415+I423+I427+I431+I435+I439+I443+I447+I451+I455+I459+I475+I479+I483+I491+I495+I503+I575</f>
        <v>126602</v>
      </c>
      <c r="J607" s="575">
        <f>J159+J163+J167+J179+J187+J191+J199+J211+J235+J243+J251+J267+J283+J291+J307+J331+J335+J351+J387+J399+J403+J407+J411+J415+J423+J427+J431+J435+J439+J443+J447+J451+J455+J459+J475+J479+J483+J491+J495+J503+J575</f>
        <v>278092</v>
      </c>
      <c r="K607" s="575">
        <f>SUM(E607:J607)</f>
        <v>599148</v>
      </c>
      <c r="L607" s="575">
        <f t="shared" si="109"/>
        <v>847348</v>
      </c>
      <c r="M607" s="575">
        <f t="shared" si="109"/>
        <v>8820</v>
      </c>
      <c r="N607" s="575">
        <f t="shared" si="109"/>
        <v>0</v>
      </c>
      <c r="O607" s="575">
        <f>SUM(K607:N607)</f>
        <v>1455316</v>
      </c>
      <c r="P607" s="844">
        <f>P159+P163+P167+P179+P199+P211+P235+P267+P283+P291+P307+P331+P335+P351+P387+P399+P403+P407+P411+P415+P423+P427+P431+P435+P439+P443+P447+P451+P455+P459+P475+P479+P483+P491+P495+P575</f>
        <v>0</v>
      </c>
    </row>
    <row r="608" spans="1:16" s="82" customFormat="1" ht="12" customHeight="1">
      <c r="A608" s="1961" t="s">
        <v>888</v>
      </c>
      <c r="B608" s="1962"/>
      <c r="C608" s="1962"/>
      <c r="D608" s="1963"/>
      <c r="E608" s="537"/>
      <c r="F608" s="537"/>
      <c r="G608" s="537"/>
      <c r="H608" s="537"/>
      <c r="I608" s="537"/>
      <c r="J608" s="537"/>
      <c r="K608" s="537"/>
      <c r="L608" s="537"/>
      <c r="M608" s="537"/>
      <c r="N608" s="537"/>
      <c r="O608" s="537"/>
      <c r="P608" s="523"/>
    </row>
    <row r="609" spans="1:16" s="82" customFormat="1" ht="12" customHeight="1">
      <c r="A609" s="668"/>
      <c r="B609" s="669"/>
      <c r="C609" s="670"/>
      <c r="D609" s="426" t="s">
        <v>864</v>
      </c>
      <c r="E609" s="671">
        <f aca="true" t="shared" si="110" ref="E609:J609">E181+E217+E221+E225+E229+E237+E253+E261+E269+E273+E285+E309+E313+E321+E325+E341+E353+E357+E361+E365+E369+E373+E377+E381+E389+E417+E485+E497+E505+E509+E525+E529+E557+E569+E577+E581+E593+E597</f>
        <v>89165</v>
      </c>
      <c r="F609" s="535">
        <f t="shared" si="110"/>
        <v>12893</v>
      </c>
      <c r="G609" s="535">
        <f t="shared" si="110"/>
        <v>207858</v>
      </c>
      <c r="H609" s="535">
        <f t="shared" si="110"/>
        <v>0</v>
      </c>
      <c r="I609" s="535">
        <f t="shared" si="110"/>
        <v>8401</v>
      </c>
      <c r="J609" s="535">
        <f t="shared" si="110"/>
        <v>101889</v>
      </c>
      <c r="K609" s="535">
        <f>SUM(E609:J609)</f>
        <v>420206</v>
      </c>
      <c r="L609" s="535">
        <f aca="true" t="shared" si="111" ref="L609:N611">L181+L217+L221+L225+L229+L237+L253+L261+L269+L273+L285+L309+L313+L321+L325+L341+L353+L357+L361+L365+L369+L373+L377+L381+L389+L417+L485+L497+L505+L509+L525+L529+L557+L569+L577+L581+L593+L597</f>
        <v>421331</v>
      </c>
      <c r="M609" s="535">
        <f t="shared" si="111"/>
        <v>9069</v>
      </c>
      <c r="N609" s="535">
        <f t="shared" si="111"/>
        <v>316090</v>
      </c>
      <c r="O609" s="535">
        <f>SUM(K609:N609)</f>
        <v>1166696</v>
      </c>
      <c r="P609" s="845">
        <f>P181+P217+P221+P225+P229+P237+P253+P261+P269+P273+P285+P309+P313+P321+P325+P341+P353+P357+P361+P365+P369+P373+P377+P381+P389+P417+P485+P497+P505+P509+P525+P529+P557+P569+P577+P581+P593+P597</f>
        <v>129</v>
      </c>
    </row>
    <row r="610" spans="1:16" s="82" customFormat="1" ht="12" customHeight="1">
      <c r="A610" s="668"/>
      <c r="B610" s="669"/>
      <c r="C610" s="670"/>
      <c r="D610" s="426" t="s">
        <v>865</v>
      </c>
      <c r="E610" s="671">
        <f>E182+E218+E222+E226+E230+E238+E254+E262+E270+E274+E286+E310+E314+E322+E326+E342+E354+E358+E362+E366+E370+E374+E378+E382+E390+E418+E486+E498+E506+E510+E526+E530+E558+E570+E578+E582+E594+E598</f>
        <v>86512</v>
      </c>
      <c r="F610" s="614">
        <f>F182+F218+F222+F226+F230+F238+F254+F262+F270+F274+F286+F310+F314+F322+F326+F342+F354+F358+F362+F366+F370+F374+F378+F382+F390+F418+F486+F498+F506+F510+F526+F530+F558+F570+F578+F582+F594+F598</f>
        <v>13370</v>
      </c>
      <c r="G610" s="614">
        <f>G182+G194+G218+G222+G226+G230+G238+G246+G254+G262+G270+G274+G286+G310+G314+G322+G326+G342+G354+G358+G362+G366+G370+G374+G378+G382+G390+G418+G486+G498+G506+G510+G526+G530+G558+G570+G578+G582+G594+G598</f>
        <v>247524</v>
      </c>
      <c r="H610" s="614">
        <f aca="true" t="shared" si="112" ref="H610:J611">H182+H218+H222+H226+H230+H238+H254+H262+H270+H274+H286+H310+H314+H322+H326+H342+H354+H358+H362+H366+H370+H374+H378+H382+H390+H418+H486+H498+H506+H510+H526+H530+H558+H570+H578+H582+H594+H598</f>
        <v>0</v>
      </c>
      <c r="I610" s="614">
        <f t="shared" si="112"/>
        <v>9271</v>
      </c>
      <c r="J610" s="614">
        <f t="shared" si="112"/>
        <v>126467</v>
      </c>
      <c r="K610" s="614">
        <f>SUM(E610:J610)</f>
        <v>483144</v>
      </c>
      <c r="L610" s="614">
        <f t="shared" si="111"/>
        <v>365635</v>
      </c>
      <c r="M610" s="614">
        <f t="shared" si="111"/>
        <v>14497</v>
      </c>
      <c r="N610" s="614">
        <f t="shared" si="111"/>
        <v>311603</v>
      </c>
      <c r="O610" s="614">
        <f>SUM(K610:N610)</f>
        <v>1174879</v>
      </c>
      <c r="P610" s="845">
        <f>P182+P218+P222+P226+P230+P238+P254+P262+P270+P274+P286+P310+P314+P322+P326+P342+P354+P358+P362+P366+P370+P374+P378+P382+P390+P418+P486+P498+P506+P510+P526+P530+P558+P570+P578+P582+P594+P598</f>
        <v>129</v>
      </c>
    </row>
    <row r="611" spans="1:16" s="82" customFormat="1" ht="12" customHeight="1" thickBot="1">
      <c r="A611" s="666"/>
      <c r="B611" s="599"/>
      <c r="C611" s="667"/>
      <c r="D611" s="573" t="s">
        <v>866</v>
      </c>
      <c r="E611" s="1710">
        <f>E183+E219+E223+E227+E231+E239+E255+E263+E271+E275+E287+E311+E315+E323+E327+E343+E355+E359+E363+E367+E371+E375+E379+E383+E391+E419+E487+E499+E507+E511+E527+E531+E559+E571+E579+E583+E595+E599</f>
        <v>72707</v>
      </c>
      <c r="F611" s="575">
        <f>F183+F219+F223+F227+F231+F239+F255+F263+F271+F275+F287+F311+F315+F323+F327+F343+F355+F359+F363+F367+F371+F375+F379+F383+F391+F419+F487+F499+F507+F511+F527+F531+F559+F571+F579+F583+F595+F599</f>
        <v>11561</v>
      </c>
      <c r="G611" s="575">
        <f>G183+G195+G219+G223+G227+G231+G239+G247+G255+G263+G271+G275+G287+G311+G315+G323+G327+G343+G355+G359+G363+G367+G371+G375+G379+G383+G391+G419+G487+G499+G507+G511+G527+G531+G559+G571+G579+G583+G595+G599</f>
        <v>197655</v>
      </c>
      <c r="H611" s="575">
        <f>H183+H219+H223+H227+H231+H239+H255+H263+H271+H275+H287+H311+H315+H323+H327+H343+H355+H359+H363+H367+H371+H375+H379+H383+H391+H419+H487+H499+H507+H511+H527+H531+H559+H571+H579+H583+H595+H599</f>
        <v>0</v>
      </c>
      <c r="I611" s="575">
        <f>I183+I219+I223+I227+I231+I239+I255+I263+I271+I275+I287+I311+I315+I323+I327+I343+I355+I359+I363+I367+I371+I375+I379+I383+I391+I419+I487+I499+I507+I511+I527+I531+I559+I571+I579+I583+I595+I599</f>
        <v>8213</v>
      </c>
      <c r="J611" s="1710">
        <f t="shared" si="112"/>
        <v>123286</v>
      </c>
      <c r="K611" s="575">
        <f>SUM(E611:J611)</f>
        <v>413422</v>
      </c>
      <c r="L611" s="575">
        <f t="shared" si="111"/>
        <v>31273</v>
      </c>
      <c r="M611" s="575">
        <f t="shared" si="111"/>
        <v>8524</v>
      </c>
      <c r="N611" s="575">
        <f t="shared" si="111"/>
        <v>0</v>
      </c>
      <c r="O611" s="575">
        <f>SUM(K611:N611)</f>
        <v>453219</v>
      </c>
      <c r="P611" s="1711">
        <f>P183+P219+P223+P227+P231+P239+P255+P263+P271+P275+P287+P311+P315+P323+P327+P343+P355+P359+P363+P367+P371+P375+P379+P383+P391+P419+P487+P499+P507+P511+P527+P531+P559+P571+P579+P583+P595+P599</f>
        <v>76</v>
      </c>
    </row>
    <row r="612" spans="1:16" s="24" customFormat="1" ht="14.25" customHeight="1">
      <c r="A612" s="1951" t="s">
        <v>481</v>
      </c>
      <c r="B612" s="1952"/>
      <c r="C612" s="1952"/>
      <c r="D612" s="1952"/>
      <c r="E612" s="1952"/>
      <c r="F612" s="1952"/>
      <c r="G612" s="1952"/>
      <c r="H612" s="1952"/>
      <c r="I612" s="1952"/>
      <c r="J612" s="1952"/>
      <c r="K612" s="1952"/>
      <c r="L612" s="1952"/>
      <c r="M612" s="1952"/>
      <c r="N612" s="1952"/>
      <c r="O612" s="1952"/>
      <c r="P612" s="1953"/>
    </row>
    <row r="613" spans="1:16" s="24" customFormat="1" ht="12" customHeight="1">
      <c r="A613" s="609" t="s">
        <v>794</v>
      </c>
      <c r="B613" s="518">
        <v>1</v>
      </c>
      <c r="C613" s="611" t="s">
        <v>631</v>
      </c>
      <c r="D613" s="672" t="s">
        <v>572</v>
      </c>
      <c r="E613" s="614"/>
      <c r="F613" s="614"/>
      <c r="G613" s="614"/>
      <c r="H613" s="614"/>
      <c r="I613" s="673"/>
      <c r="J613" s="614"/>
      <c r="K613" s="614"/>
      <c r="L613" s="614"/>
      <c r="M613" s="614"/>
      <c r="N613" s="614"/>
      <c r="O613" s="615"/>
      <c r="P613" s="608"/>
    </row>
    <row r="614" spans="1:16" s="24" customFormat="1" ht="12" customHeight="1">
      <c r="A614" s="609"/>
      <c r="B614" s="518"/>
      <c r="C614" s="611"/>
      <c r="D614" s="468" t="s">
        <v>864</v>
      </c>
      <c r="E614" s="614"/>
      <c r="F614" s="614"/>
      <c r="G614" s="614"/>
      <c r="H614" s="614"/>
      <c r="I614" s="673"/>
      <c r="J614" s="614"/>
      <c r="K614" s="614">
        <v>0</v>
      </c>
      <c r="L614" s="614"/>
      <c r="M614" s="614">
        <v>978</v>
      </c>
      <c r="N614" s="614"/>
      <c r="O614" s="615">
        <v>978</v>
      </c>
      <c r="P614" s="608"/>
    </row>
    <row r="615" spans="1:16" s="24" customFormat="1" ht="12" customHeight="1">
      <c r="A615" s="609"/>
      <c r="B615" s="518"/>
      <c r="C615" s="611"/>
      <c r="D615" s="468" t="s">
        <v>865</v>
      </c>
      <c r="E615" s="614"/>
      <c r="F615" s="614"/>
      <c r="G615" s="614"/>
      <c r="H615" s="614"/>
      <c r="I615" s="673"/>
      <c r="J615" s="614"/>
      <c r="K615" s="614">
        <v>0</v>
      </c>
      <c r="L615" s="614"/>
      <c r="M615" s="614">
        <v>978</v>
      </c>
      <c r="N615" s="614"/>
      <c r="O615" s="615">
        <v>978</v>
      </c>
      <c r="P615" s="608"/>
    </row>
    <row r="616" spans="1:16" s="24" customFormat="1" ht="12" customHeight="1" thickBot="1">
      <c r="A616" s="609"/>
      <c r="B616" s="518"/>
      <c r="C616" s="611"/>
      <c r="D616" s="520" t="s">
        <v>866</v>
      </c>
      <c r="E616" s="614"/>
      <c r="F616" s="614"/>
      <c r="G616" s="614"/>
      <c r="H616" s="614"/>
      <c r="I616" s="673"/>
      <c r="J616" s="614"/>
      <c r="K616" s="614">
        <v>0</v>
      </c>
      <c r="L616" s="614"/>
      <c r="M616" s="614">
        <v>978</v>
      </c>
      <c r="N616" s="614"/>
      <c r="O616" s="615">
        <v>978</v>
      </c>
      <c r="P616" s="608"/>
    </row>
    <row r="617" spans="1:16" s="24" customFormat="1" ht="12" customHeight="1">
      <c r="A617" s="602" t="s">
        <v>847</v>
      </c>
      <c r="B617" s="590">
        <v>1</v>
      </c>
      <c r="C617" s="539" t="s">
        <v>631</v>
      </c>
      <c r="D617" s="674" t="s">
        <v>482</v>
      </c>
      <c r="E617" s="540"/>
      <c r="F617" s="540"/>
      <c r="G617" s="540"/>
      <c r="H617" s="540"/>
      <c r="I617" s="628"/>
      <c r="J617" s="540"/>
      <c r="K617" s="540"/>
      <c r="L617" s="540"/>
      <c r="M617" s="540"/>
      <c r="N617" s="540"/>
      <c r="O617" s="591"/>
      <c r="P617" s="604"/>
    </row>
    <row r="618" spans="1:16" s="24" customFormat="1" ht="12" customHeight="1">
      <c r="A618" s="491"/>
      <c r="B618" s="508"/>
      <c r="C618" s="519"/>
      <c r="D618" s="520" t="s">
        <v>864</v>
      </c>
      <c r="E618" s="537"/>
      <c r="F618" s="537"/>
      <c r="G618" s="537"/>
      <c r="H618" s="537"/>
      <c r="I618" s="577"/>
      <c r="J618" s="537"/>
      <c r="K618" s="537">
        <v>0</v>
      </c>
      <c r="L618" s="537"/>
      <c r="M618" s="537"/>
      <c r="N618" s="537"/>
      <c r="O618" s="522">
        <v>0</v>
      </c>
      <c r="P618" s="512"/>
    </row>
    <row r="619" spans="1:16" s="24" customFormat="1" ht="12" customHeight="1">
      <c r="A619" s="532"/>
      <c r="B619" s="514"/>
      <c r="C619" s="675"/>
      <c r="D619" s="468" t="s">
        <v>865</v>
      </c>
      <c r="E619" s="535"/>
      <c r="F619" s="535"/>
      <c r="G619" s="535">
        <v>31403</v>
      </c>
      <c r="H619" s="535"/>
      <c r="I619" s="597"/>
      <c r="J619" s="535"/>
      <c r="K619" s="535">
        <v>31403</v>
      </c>
      <c r="L619" s="535"/>
      <c r="M619" s="535"/>
      <c r="N619" s="535"/>
      <c r="O619" s="569">
        <v>31403</v>
      </c>
      <c r="P619" s="507"/>
    </row>
    <row r="620" spans="1:16" s="24" customFormat="1" ht="12" customHeight="1" thickBot="1">
      <c r="A620" s="491"/>
      <c r="B620" s="508"/>
      <c r="C620" s="519"/>
      <c r="D620" s="520" t="s">
        <v>866</v>
      </c>
      <c r="E620" s="537"/>
      <c r="F620" s="537"/>
      <c r="G620" s="537">
        <v>31403</v>
      </c>
      <c r="H620" s="537"/>
      <c r="I620" s="577"/>
      <c r="J620" s="537"/>
      <c r="K620" s="537">
        <v>31403</v>
      </c>
      <c r="L620" s="537"/>
      <c r="M620" s="537"/>
      <c r="N620" s="537"/>
      <c r="O620" s="522">
        <v>31403</v>
      </c>
      <c r="P620" s="512"/>
    </row>
    <row r="621" spans="1:16" s="24" customFormat="1" ht="12" customHeight="1">
      <c r="A621" s="602">
        <v>45</v>
      </c>
      <c r="B621" s="590">
        <v>1</v>
      </c>
      <c r="C621" s="539" t="s">
        <v>631</v>
      </c>
      <c r="D621" s="674" t="s">
        <v>916</v>
      </c>
      <c r="E621" s="540"/>
      <c r="F621" s="540"/>
      <c r="G621" s="540"/>
      <c r="H621" s="540"/>
      <c r="I621" s="628"/>
      <c r="J621" s="540"/>
      <c r="K621" s="540"/>
      <c r="L621" s="540"/>
      <c r="M621" s="540"/>
      <c r="N621" s="540"/>
      <c r="O621" s="591"/>
      <c r="P621" s="604"/>
    </row>
    <row r="622" spans="1:16" s="24" customFormat="1" ht="12" customHeight="1">
      <c r="A622" s="513"/>
      <c r="B622" s="514"/>
      <c r="C622" s="515"/>
      <c r="D622" s="468" t="s">
        <v>864</v>
      </c>
      <c r="E622" s="535"/>
      <c r="F622" s="535"/>
      <c r="G622" s="535"/>
      <c r="H622" s="535"/>
      <c r="I622" s="597"/>
      <c r="J622" s="535">
        <v>0</v>
      </c>
      <c r="K622" s="535">
        <v>0</v>
      </c>
      <c r="L622" s="535"/>
      <c r="M622" s="535"/>
      <c r="N622" s="535"/>
      <c r="O622" s="569">
        <v>0</v>
      </c>
      <c r="P622" s="507"/>
    </row>
    <row r="623" spans="1:16" s="24" customFormat="1" ht="12" customHeight="1">
      <c r="A623" s="513"/>
      <c r="B623" s="514"/>
      <c r="C623" s="515"/>
      <c r="D623" s="468" t="s">
        <v>865</v>
      </c>
      <c r="E623" s="535"/>
      <c r="F623" s="535"/>
      <c r="G623" s="535"/>
      <c r="H623" s="535"/>
      <c r="I623" s="597"/>
      <c r="J623" s="535">
        <v>38730</v>
      </c>
      <c r="K623" s="535">
        <v>38730</v>
      </c>
      <c r="L623" s="535"/>
      <c r="M623" s="535"/>
      <c r="N623" s="535"/>
      <c r="O623" s="569">
        <f>SUM(K623:N623)</f>
        <v>38730</v>
      </c>
      <c r="P623" s="507"/>
    </row>
    <row r="624" spans="1:16" s="24" customFormat="1" ht="12" customHeight="1" thickBot="1">
      <c r="A624" s="571"/>
      <c r="B624" s="543"/>
      <c r="C624" s="572"/>
      <c r="D624" s="573" t="s">
        <v>866</v>
      </c>
      <c r="E624" s="575"/>
      <c r="F624" s="575"/>
      <c r="G624" s="575"/>
      <c r="H624" s="575"/>
      <c r="I624" s="600"/>
      <c r="J624" s="575">
        <v>38730</v>
      </c>
      <c r="K624" s="575">
        <v>38730</v>
      </c>
      <c r="L624" s="575"/>
      <c r="M624" s="575">
        <v>397</v>
      </c>
      <c r="N624" s="575"/>
      <c r="O624" s="601">
        <f>M624+K624</f>
        <v>39127</v>
      </c>
      <c r="P624" s="576"/>
    </row>
    <row r="625" spans="1:16" ht="18" customHeight="1" thickBot="1">
      <c r="A625" s="1974" t="s">
        <v>803</v>
      </c>
      <c r="B625" s="1975"/>
      <c r="C625" s="1975"/>
      <c r="D625" s="1975"/>
      <c r="E625" s="1975"/>
      <c r="F625" s="1975"/>
      <c r="G625" s="1975"/>
      <c r="H625" s="1975"/>
      <c r="I625" s="1975"/>
      <c r="J625" s="1975"/>
      <c r="K625" s="1975"/>
      <c r="L625" s="1976"/>
      <c r="M625" s="662"/>
      <c r="N625" s="662"/>
      <c r="O625" s="662"/>
      <c r="P625" s="663"/>
    </row>
    <row r="626" spans="1:16" ht="12" customHeight="1">
      <c r="A626" s="676"/>
      <c r="B626" s="490"/>
      <c r="C626" s="677"/>
      <c r="D626" s="426" t="s">
        <v>864</v>
      </c>
      <c r="E626" s="537">
        <f aca="true" t="shared" si="113" ref="E626:J626">E145+E601+E614+E618</f>
        <v>295796</v>
      </c>
      <c r="F626" s="537">
        <f t="shared" si="113"/>
        <v>67956</v>
      </c>
      <c r="G626" s="537">
        <f t="shared" si="113"/>
        <v>399026</v>
      </c>
      <c r="H626" s="537">
        <f t="shared" si="113"/>
        <v>0</v>
      </c>
      <c r="I626" s="537">
        <f t="shared" si="113"/>
        <v>197147</v>
      </c>
      <c r="J626" s="537">
        <f t="shared" si="113"/>
        <v>379682</v>
      </c>
      <c r="K626" s="537">
        <f>SUM(E626:J626)</f>
        <v>1339607</v>
      </c>
      <c r="L626" s="537">
        <f aca="true" t="shared" si="114" ref="L626:N628">L145+L601+L614+L618</f>
        <v>1758292</v>
      </c>
      <c r="M626" s="537">
        <f t="shared" si="114"/>
        <v>34836</v>
      </c>
      <c r="N626" s="537">
        <f t="shared" si="114"/>
        <v>316090</v>
      </c>
      <c r="O626" s="537">
        <f>SUM(K626:N626)</f>
        <v>3448825</v>
      </c>
      <c r="P626" s="512">
        <f>P145+P601+P614+P618</f>
        <v>189</v>
      </c>
    </row>
    <row r="627" spans="1:16" ht="12" customHeight="1">
      <c r="A627" s="678"/>
      <c r="B627" s="679"/>
      <c r="C627" s="680"/>
      <c r="D627" s="468" t="s">
        <v>865</v>
      </c>
      <c r="E627" s="535">
        <f aca="true" t="shared" si="115" ref="E627:I628">E146+E602+E615+E619</f>
        <v>297162</v>
      </c>
      <c r="F627" s="535">
        <f t="shared" si="115"/>
        <v>69814</v>
      </c>
      <c r="G627" s="535">
        <f t="shared" si="115"/>
        <v>584373</v>
      </c>
      <c r="H627" s="535">
        <f t="shared" si="115"/>
        <v>0</v>
      </c>
      <c r="I627" s="535">
        <f t="shared" si="115"/>
        <v>200229</v>
      </c>
      <c r="J627" s="535">
        <f>J146+J602+J615+J619+J623</f>
        <v>445756</v>
      </c>
      <c r="K627" s="535">
        <f>SUM(E627:J627)</f>
        <v>1597334</v>
      </c>
      <c r="L627" s="535">
        <f t="shared" si="114"/>
        <v>1847044</v>
      </c>
      <c r="M627" s="535">
        <f t="shared" si="114"/>
        <v>46049</v>
      </c>
      <c r="N627" s="535">
        <f t="shared" si="114"/>
        <v>311603</v>
      </c>
      <c r="O627" s="535">
        <f>O146+O602+O615+O619</f>
        <v>3763300</v>
      </c>
      <c r="P627" s="507">
        <f>P146+P602+P615+P619</f>
        <v>187</v>
      </c>
    </row>
    <row r="628" spans="1:16" ht="12" customHeight="1" thickBot="1">
      <c r="A628" s="676"/>
      <c r="B628" s="493"/>
      <c r="C628" s="677"/>
      <c r="D628" s="520" t="s">
        <v>866</v>
      </c>
      <c r="E628" s="575">
        <f t="shared" si="115"/>
        <v>267049</v>
      </c>
      <c r="F628" s="575">
        <f t="shared" si="115"/>
        <v>62553</v>
      </c>
      <c r="G628" s="575">
        <f t="shared" si="115"/>
        <v>489203</v>
      </c>
      <c r="H628" s="575">
        <f t="shared" si="115"/>
        <v>0</v>
      </c>
      <c r="I628" s="575">
        <f t="shared" si="115"/>
        <v>134815</v>
      </c>
      <c r="J628" s="575">
        <f>J147+J603+J616+J620+J624</f>
        <v>440108</v>
      </c>
      <c r="K628" s="631">
        <f>SUM(E628:J628)</f>
        <v>1393728</v>
      </c>
      <c r="L628" s="575">
        <f t="shared" si="114"/>
        <v>885888</v>
      </c>
      <c r="M628" s="575">
        <f>M147+M603+M616+M620+M624</f>
        <v>18719</v>
      </c>
      <c r="N628" s="575">
        <f t="shared" si="114"/>
        <v>0</v>
      </c>
      <c r="O628" s="575">
        <f>O147+O603+O616+O620+O624</f>
        <v>2298335</v>
      </c>
      <c r="P628" s="576">
        <f>P147+P603+P616+P620</f>
        <v>133</v>
      </c>
    </row>
    <row r="629" spans="1:16" ht="12.75" customHeight="1">
      <c r="A629" s="1920" t="s">
        <v>871</v>
      </c>
      <c r="B629" s="1921"/>
      <c r="C629" s="1921"/>
      <c r="D629" s="1921"/>
      <c r="E629" s="540"/>
      <c r="F629" s="540"/>
      <c r="G629" s="540"/>
      <c r="H629" s="540"/>
      <c r="I629" s="540"/>
      <c r="J629" s="540"/>
      <c r="K629" s="540"/>
      <c r="L629" s="540"/>
      <c r="M629" s="540"/>
      <c r="N629" s="540"/>
      <c r="O629" s="591"/>
      <c r="P629" s="604"/>
    </row>
    <row r="630" spans="1:16" ht="12.75" customHeight="1">
      <c r="A630" s="550"/>
      <c r="B630" s="492"/>
      <c r="C630" s="492"/>
      <c r="D630" s="520" t="s">
        <v>864</v>
      </c>
      <c r="E630" s="537">
        <f aca="true" t="shared" si="116" ref="E630:J632">E626+E65</f>
        <v>449887</v>
      </c>
      <c r="F630" s="537">
        <f t="shared" si="116"/>
        <v>108597</v>
      </c>
      <c r="G630" s="537">
        <f t="shared" si="116"/>
        <v>443431</v>
      </c>
      <c r="H630" s="537">
        <f t="shared" si="116"/>
        <v>0</v>
      </c>
      <c r="I630" s="537">
        <f t="shared" si="116"/>
        <v>197147</v>
      </c>
      <c r="J630" s="537">
        <f t="shared" si="116"/>
        <v>379682</v>
      </c>
      <c r="K630" s="537">
        <f>SUM(E630:J630)</f>
        <v>1578744</v>
      </c>
      <c r="L630" s="537">
        <f aca="true" t="shared" si="117" ref="L630:N632">L626+L65</f>
        <v>1758689</v>
      </c>
      <c r="M630" s="537">
        <f t="shared" si="117"/>
        <v>34836</v>
      </c>
      <c r="N630" s="537">
        <f t="shared" si="117"/>
        <v>316090</v>
      </c>
      <c r="O630" s="522">
        <f>SUM(K630:N630)</f>
        <v>3688359</v>
      </c>
      <c r="P630" s="512">
        <f>P626+P65</f>
        <v>272.6</v>
      </c>
    </row>
    <row r="631" spans="1:16" ht="12.75" customHeight="1">
      <c r="A631" s="513"/>
      <c r="B631" s="533"/>
      <c r="C631" s="533"/>
      <c r="D631" s="468" t="s">
        <v>865</v>
      </c>
      <c r="E631" s="535">
        <f t="shared" si="116"/>
        <v>455784</v>
      </c>
      <c r="F631" s="535">
        <f t="shared" si="116"/>
        <v>111897</v>
      </c>
      <c r="G631" s="535">
        <f t="shared" si="116"/>
        <v>635934</v>
      </c>
      <c r="H631" s="535">
        <f t="shared" si="116"/>
        <v>0</v>
      </c>
      <c r="I631" s="535">
        <f t="shared" si="116"/>
        <v>200229</v>
      </c>
      <c r="J631" s="535">
        <f>J627+J66</f>
        <v>445756</v>
      </c>
      <c r="K631" s="535">
        <f>SUM(E631:J631)</f>
        <v>1849600</v>
      </c>
      <c r="L631" s="535">
        <f t="shared" si="117"/>
        <v>1848036</v>
      </c>
      <c r="M631" s="535">
        <f t="shared" si="117"/>
        <v>46049</v>
      </c>
      <c r="N631" s="535">
        <f t="shared" si="117"/>
        <v>311603</v>
      </c>
      <c r="O631" s="569">
        <f>SUM(K631:N631)</f>
        <v>4055288</v>
      </c>
      <c r="P631" s="507">
        <f>P627+P66</f>
        <v>273.6</v>
      </c>
    </row>
    <row r="632" spans="1:16" ht="12.75" customHeight="1" thickBot="1">
      <c r="A632" s="550"/>
      <c r="B632" s="492"/>
      <c r="C632" s="492"/>
      <c r="D632" s="461" t="s">
        <v>866</v>
      </c>
      <c r="E632" s="537">
        <f>E628+E67</f>
        <v>421197</v>
      </c>
      <c r="F632" s="537">
        <f t="shared" si="116"/>
        <v>103246</v>
      </c>
      <c r="G632" s="537">
        <f t="shared" si="116"/>
        <v>534254</v>
      </c>
      <c r="H632" s="537">
        <f t="shared" si="116"/>
        <v>0</v>
      </c>
      <c r="I632" s="537">
        <f t="shared" si="116"/>
        <v>134815</v>
      </c>
      <c r="J632" s="537">
        <f t="shared" si="116"/>
        <v>440108</v>
      </c>
      <c r="K632" s="537">
        <f>SUM(E632:J632)</f>
        <v>1633620</v>
      </c>
      <c r="L632" s="537">
        <f t="shared" si="117"/>
        <v>886765</v>
      </c>
      <c r="M632" s="537">
        <f t="shared" si="117"/>
        <v>18719</v>
      </c>
      <c r="N632" s="537">
        <f t="shared" si="117"/>
        <v>0</v>
      </c>
      <c r="O632" s="522">
        <f>SUM(K632:N632)</f>
        <v>2539104</v>
      </c>
      <c r="P632" s="512">
        <f>P628+P67</f>
        <v>203</v>
      </c>
    </row>
    <row r="633" spans="1:16" s="56" customFormat="1" ht="12.75" customHeight="1">
      <c r="A633" s="1938" t="s">
        <v>890</v>
      </c>
      <c r="B633" s="1921"/>
      <c r="C633" s="1921"/>
      <c r="D633" s="1921"/>
      <c r="E633" s="603"/>
      <c r="F633" s="603"/>
      <c r="G633" s="603"/>
      <c r="H633" s="603"/>
      <c r="I633" s="603"/>
      <c r="J633" s="603"/>
      <c r="K633" s="591"/>
      <c r="L633" s="603"/>
      <c r="M633" s="603"/>
      <c r="N633" s="603"/>
      <c r="O633" s="591"/>
      <c r="P633" s="820"/>
    </row>
    <row r="634" spans="1:16" s="56" customFormat="1" ht="12.75" customHeight="1">
      <c r="A634" s="609"/>
      <c r="B634" s="669"/>
      <c r="C634" s="669"/>
      <c r="D634" s="426" t="s">
        <v>864</v>
      </c>
      <c r="E634" s="613">
        <f aca="true" t="shared" si="118" ref="E634:J634">E69+E149+E605+E614+E618</f>
        <v>263416</v>
      </c>
      <c r="F634" s="613">
        <f t="shared" si="118"/>
        <v>70466</v>
      </c>
      <c r="G634" s="613">
        <f t="shared" si="118"/>
        <v>219354</v>
      </c>
      <c r="H634" s="613">
        <f t="shared" si="118"/>
        <v>0</v>
      </c>
      <c r="I634" s="613">
        <f t="shared" si="118"/>
        <v>188746</v>
      </c>
      <c r="J634" s="613">
        <f t="shared" si="118"/>
        <v>277793</v>
      </c>
      <c r="K634" s="615">
        <f>SUM(E634:J634)</f>
        <v>1019775</v>
      </c>
      <c r="L634" s="511">
        <f>L69+L149+L605+L614+L618</f>
        <v>1336961</v>
      </c>
      <c r="M634" s="511">
        <f>M69+M149+M605+M614+M618</f>
        <v>25767</v>
      </c>
      <c r="N634" s="511">
        <f>N69+N149+N605+N614+N618</f>
        <v>0</v>
      </c>
      <c r="O634" s="522">
        <f>O69+O149+O605+O614+O618</f>
        <v>2382503</v>
      </c>
      <c r="P634" s="846">
        <f>P69+P149+P605+P614+P618</f>
        <v>99.70000000000002</v>
      </c>
    </row>
    <row r="635" spans="1:16" s="56" customFormat="1" ht="12.75" customHeight="1">
      <c r="A635" s="513"/>
      <c r="B635" s="533"/>
      <c r="C635" s="533"/>
      <c r="D635" s="468" t="s">
        <v>865</v>
      </c>
      <c r="E635" s="516">
        <f aca="true" t="shared" si="119" ref="E635:I636">E70+E150+E606+E615+E619</f>
        <v>269193</v>
      </c>
      <c r="F635" s="516">
        <f t="shared" si="119"/>
        <v>72347</v>
      </c>
      <c r="G635" s="516">
        <f t="shared" si="119"/>
        <v>369939</v>
      </c>
      <c r="H635" s="516">
        <f t="shared" si="119"/>
        <v>0</v>
      </c>
      <c r="I635" s="516">
        <f t="shared" si="119"/>
        <v>190958</v>
      </c>
      <c r="J635" s="516">
        <f>J70+J150+J606+J615+J619+J623</f>
        <v>319289</v>
      </c>
      <c r="K635" s="569">
        <f>SUM(E635:J635)</f>
        <v>1221726</v>
      </c>
      <c r="L635" s="516">
        <f aca="true" t="shared" si="120" ref="L635:N636">L70+L150+L606+L615+L619</f>
        <v>1481589</v>
      </c>
      <c r="M635" s="516">
        <f t="shared" si="120"/>
        <v>31552</v>
      </c>
      <c r="N635" s="516">
        <f t="shared" si="120"/>
        <v>0</v>
      </c>
      <c r="O635" s="569">
        <f>O70+O150+O606+O615+O619+O623</f>
        <v>2734867</v>
      </c>
      <c r="P635" s="847">
        <f>P70+P150+P606+P615+P619</f>
        <v>99.70000000000002</v>
      </c>
    </row>
    <row r="636" spans="1:16" s="56" customFormat="1" ht="12.75" customHeight="1" thickBot="1">
      <c r="A636" s="550"/>
      <c r="B636" s="492"/>
      <c r="C636" s="492"/>
      <c r="D636" s="520" t="s">
        <v>866</v>
      </c>
      <c r="E636" s="511">
        <f t="shared" si="119"/>
        <v>251968</v>
      </c>
      <c r="F636" s="511">
        <f t="shared" si="119"/>
        <v>66252</v>
      </c>
      <c r="G636" s="511">
        <f t="shared" si="119"/>
        <v>322490</v>
      </c>
      <c r="H636" s="511">
        <f t="shared" si="119"/>
        <v>0</v>
      </c>
      <c r="I636" s="511">
        <f t="shared" si="119"/>
        <v>126602</v>
      </c>
      <c r="J636" s="511">
        <f>J71+J151+J607+J616+J620+J624</f>
        <v>316822</v>
      </c>
      <c r="K636" s="522">
        <f>SUM(E636:J636)</f>
        <v>1084134</v>
      </c>
      <c r="L636" s="511">
        <f t="shared" si="120"/>
        <v>854795</v>
      </c>
      <c r="M636" s="511">
        <f>M71+M151+M607+M616+M620+M624</f>
        <v>10195</v>
      </c>
      <c r="N636" s="511">
        <f t="shared" si="120"/>
        <v>0</v>
      </c>
      <c r="O636" s="522">
        <f>O71+O151+O607+O616+O620+O624</f>
        <v>1949124</v>
      </c>
      <c r="P636" s="846">
        <f>P71+P151+P607+P616+P620</f>
        <v>96</v>
      </c>
    </row>
    <row r="637" spans="1:16" s="56" customFormat="1" ht="12.75" customHeight="1">
      <c r="A637" s="1920" t="s">
        <v>873</v>
      </c>
      <c r="B637" s="1921"/>
      <c r="C637" s="1921"/>
      <c r="D637" s="1921"/>
      <c r="E637" s="603"/>
      <c r="F637" s="603"/>
      <c r="G637" s="603"/>
      <c r="H637" s="603"/>
      <c r="I637" s="603"/>
      <c r="J637" s="603"/>
      <c r="K637" s="591"/>
      <c r="L637" s="603"/>
      <c r="M637" s="603"/>
      <c r="N637" s="603"/>
      <c r="O637" s="591"/>
      <c r="P637" s="820"/>
    </row>
    <row r="638" spans="1:16" ht="12.75" customHeight="1">
      <c r="A638" s="496"/>
      <c r="B638" s="497"/>
      <c r="C638" s="651"/>
      <c r="D638" s="461" t="s">
        <v>864</v>
      </c>
      <c r="E638" s="497">
        <f aca="true" t="shared" si="121" ref="E638:J640">E73+E153+E609</f>
        <v>186471</v>
      </c>
      <c r="F638" s="497">
        <f t="shared" si="121"/>
        <v>38131</v>
      </c>
      <c r="G638" s="497">
        <f t="shared" si="121"/>
        <v>224077</v>
      </c>
      <c r="H638" s="497">
        <f t="shared" si="121"/>
        <v>0</v>
      </c>
      <c r="I638" s="497">
        <f t="shared" si="121"/>
        <v>8401</v>
      </c>
      <c r="J638" s="497">
        <f t="shared" si="121"/>
        <v>101889</v>
      </c>
      <c r="K638" s="505">
        <f>SUM(E638:J638)</f>
        <v>558969</v>
      </c>
      <c r="L638" s="497">
        <f aca="true" t="shared" si="122" ref="L638:N640">L73+L153+L609</f>
        <v>421728</v>
      </c>
      <c r="M638" s="497">
        <f t="shared" si="122"/>
        <v>9069</v>
      </c>
      <c r="N638" s="497">
        <f t="shared" si="122"/>
        <v>316090</v>
      </c>
      <c r="O638" s="505">
        <f>SUM(K638:N638)</f>
        <v>1305856</v>
      </c>
      <c r="P638" s="817">
        <f>P73+P153+P609</f>
        <v>172.9</v>
      </c>
    </row>
    <row r="639" spans="1:16" ht="12.75" customHeight="1">
      <c r="A639" s="513"/>
      <c r="B639" s="516"/>
      <c r="C639" s="557"/>
      <c r="D639" s="468" t="s">
        <v>865</v>
      </c>
      <c r="E639" s="497">
        <f t="shared" si="121"/>
        <v>186591</v>
      </c>
      <c r="F639" s="497">
        <f t="shared" si="121"/>
        <v>39550</v>
      </c>
      <c r="G639" s="497">
        <f t="shared" si="121"/>
        <v>265995</v>
      </c>
      <c r="H639" s="497">
        <f t="shared" si="121"/>
        <v>0</v>
      </c>
      <c r="I639" s="497">
        <f t="shared" si="121"/>
        <v>9271</v>
      </c>
      <c r="J639" s="497">
        <f t="shared" si="121"/>
        <v>126467</v>
      </c>
      <c r="K639" s="505">
        <f>SUM(E639:J639)</f>
        <v>627874</v>
      </c>
      <c r="L639" s="497">
        <f t="shared" si="122"/>
        <v>366447</v>
      </c>
      <c r="M639" s="497">
        <f t="shared" si="122"/>
        <v>14497</v>
      </c>
      <c r="N639" s="497">
        <f t="shared" si="122"/>
        <v>311603</v>
      </c>
      <c r="O639" s="505">
        <f>SUM(K639:N639)</f>
        <v>1320421</v>
      </c>
      <c r="P639" s="817">
        <f>P74+P154+P610</f>
        <v>173.9</v>
      </c>
    </row>
    <row r="640" spans="1:16" ht="12.75" customHeight="1" thickBot="1">
      <c r="A640" s="571"/>
      <c r="B640" s="621"/>
      <c r="C640" s="681"/>
      <c r="D640" s="682" t="s">
        <v>866</v>
      </c>
      <c r="E640" s="637">
        <f t="shared" si="121"/>
        <v>169229</v>
      </c>
      <c r="F640" s="637">
        <f t="shared" si="121"/>
        <v>36994</v>
      </c>
      <c r="G640" s="637">
        <f t="shared" si="121"/>
        <v>211764</v>
      </c>
      <c r="H640" s="637">
        <f t="shared" si="121"/>
        <v>0</v>
      </c>
      <c r="I640" s="637">
        <f t="shared" si="121"/>
        <v>8213</v>
      </c>
      <c r="J640" s="637">
        <f t="shared" si="121"/>
        <v>123286</v>
      </c>
      <c r="K640" s="632">
        <f>SUM(E640:J640)</f>
        <v>549486</v>
      </c>
      <c r="L640" s="637">
        <f t="shared" si="122"/>
        <v>31970</v>
      </c>
      <c r="M640" s="637">
        <f t="shared" si="122"/>
        <v>8524</v>
      </c>
      <c r="N640" s="637">
        <f t="shared" si="122"/>
        <v>0</v>
      </c>
      <c r="O640" s="632">
        <f>SUM(K640:N640)</f>
        <v>589980</v>
      </c>
      <c r="P640" s="821">
        <f>P75+P155+P611</f>
        <v>107</v>
      </c>
    </row>
    <row r="642" spans="4:9" ht="12.75" customHeight="1">
      <c r="D642" s="904"/>
      <c r="I642" s="483"/>
    </row>
    <row r="643" spans="4:15" ht="12.75" customHeight="1">
      <c r="D643" s="888"/>
      <c r="E643" s="481"/>
      <c r="F643" s="481"/>
      <c r="G643" s="481"/>
      <c r="H643" s="481"/>
      <c r="I643" s="481"/>
      <c r="J643" s="481"/>
      <c r="K643" s="481"/>
      <c r="L643" s="481"/>
      <c r="M643" s="481"/>
      <c r="N643" s="481"/>
      <c r="O643" s="481"/>
    </row>
    <row r="644" spans="9:16" ht="12.75" customHeight="1">
      <c r="I644" s="483"/>
      <c r="K644" s="483"/>
      <c r="O644" s="483"/>
      <c r="P644" s="483"/>
    </row>
    <row r="645" spans="9:16" ht="12.75" customHeight="1">
      <c r="I645" s="483"/>
      <c r="K645" s="483"/>
      <c r="O645" s="483"/>
      <c r="P645" s="483"/>
    </row>
    <row r="646" spans="9:15" ht="12.75" customHeight="1">
      <c r="I646" s="483"/>
      <c r="K646" s="483"/>
      <c r="O646" s="483"/>
    </row>
    <row r="647" spans="9:16" ht="12.75" customHeight="1">
      <c r="I647" s="483"/>
      <c r="K647" s="483"/>
      <c r="O647" s="483"/>
      <c r="P647" s="483"/>
    </row>
    <row r="648" spans="9:16" ht="12.75" customHeight="1">
      <c r="I648" s="483"/>
      <c r="K648" s="483"/>
      <c r="O648" s="483"/>
      <c r="P648" s="483"/>
    </row>
  </sheetData>
  <sheetProtection/>
  <mergeCells count="35">
    <mergeCell ref="D232:F232"/>
    <mergeCell ref="D236:E236"/>
    <mergeCell ref="A637:D637"/>
    <mergeCell ref="A625:L625"/>
    <mergeCell ref="D388:F388"/>
    <mergeCell ref="A5:B5"/>
    <mergeCell ref="A6:B6"/>
    <mergeCell ref="A7:B7"/>
    <mergeCell ref="A612:P612"/>
    <mergeCell ref="C5:C7"/>
    <mergeCell ref="A600:D600"/>
    <mergeCell ref="J6:J7"/>
    <mergeCell ref="D480:H480"/>
    <mergeCell ref="A608:D608"/>
    <mergeCell ref="D384:F384"/>
    <mergeCell ref="D228:E228"/>
    <mergeCell ref="D128:F128"/>
    <mergeCell ref="A633:D633"/>
    <mergeCell ref="D560:F560"/>
    <mergeCell ref="A144:F144"/>
    <mergeCell ref="D216:F216"/>
    <mergeCell ref="D344:H344"/>
    <mergeCell ref="D492:G492"/>
    <mergeCell ref="D496:F496"/>
    <mergeCell ref="D548:F548"/>
    <mergeCell ref="L1:P1"/>
    <mergeCell ref="I5:J5"/>
    <mergeCell ref="A68:D68"/>
    <mergeCell ref="A72:D72"/>
    <mergeCell ref="I6:I7"/>
    <mergeCell ref="A629:D629"/>
    <mergeCell ref="A64:D64"/>
    <mergeCell ref="A148:D148"/>
    <mergeCell ref="A152:D152"/>
    <mergeCell ref="A604:D604"/>
  </mergeCells>
  <printOptions horizontalCentered="1" verticalCentered="1"/>
  <pageMargins left="0.3937007874015748" right="0.3937007874015748" top="0.3937007874015748" bottom="0.3937007874015748" header="0" footer="0"/>
  <pageSetup fitToHeight="4" horizontalDpi="600" verticalDpi="600" orientation="landscape" paperSize="9" scale="75" r:id="rId2"/>
  <rowBreaks count="11" manualBreakCount="11">
    <brk id="51" max="15" man="1"/>
    <brk id="103" max="15" man="1"/>
    <brk id="155" max="15" man="1"/>
    <brk id="211" max="15" man="1"/>
    <brk id="267" max="15" man="1"/>
    <brk id="311" max="15" man="1"/>
    <brk id="359" max="15" man="1"/>
    <brk id="407" max="15" man="1"/>
    <brk id="463" max="15" man="1"/>
    <brk id="511" max="15" man="1"/>
    <brk id="55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zoomScaleSheetLayoutView="100" zoomScalePageLayoutView="0" workbookViewId="0" topLeftCell="A1">
      <selection activeCell="E23" sqref="E23"/>
    </sheetView>
  </sheetViews>
  <sheetFormatPr defaultColWidth="9.00390625" defaultRowHeight="12" customHeight="1"/>
  <cols>
    <col min="1" max="1" width="3.25390625" style="131" customWidth="1"/>
    <col min="2" max="2" width="3.125" style="131" customWidth="1"/>
    <col min="3" max="3" width="75.75390625" style="692" customWidth="1"/>
    <col min="4" max="4" width="9.375" style="694" customWidth="1"/>
    <col min="5" max="5" width="9.125" style="693" customWidth="1"/>
    <col min="6" max="6" width="9.125" style="758" customWidth="1"/>
    <col min="7" max="16384" width="9.125" style="13" customWidth="1"/>
  </cols>
  <sheetData>
    <row r="1" spans="3:4" ht="12" customHeight="1">
      <c r="C1" s="1901" t="s">
        <v>446</v>
      </c>
      <c r="D1" s="1901"/>
    </row>
    <row r="2" ht="12" customHeight="1">
      <c r="D2" s="131"/>
    </row>
    <row r="3" ht="12" customHeight="1">
      <c r="D3" s="131"/>
    </row>
    <row r="7" spans="5:6" ht="15" customHeight="1" thickBot="1">
      <c r="E7" s="1992" t="s">
        <v>301</v>
      </c>
      <c r="F7" s="1992"/>
    </row>
    <row r="8" spans="1:6" s="14" customFormat="1" ht="18.75" customHeight="1" thickBot="1">
      <c r="A8" s="1983" t="s">
        <v>334</v>
      </c>
      <c r="B8" s="1984"/>
      <c r="C8" s="1985"/>
      <c r="D8" s="118" t="s">
        <v>859</v>
      </c>
      <c r="E8" s="119" t="s">
        <v>860</v>
      </c>
      <c r="F8" s="834" t="s">
        <v>861</v>
      </c>
    </row>
    <row r="9" spans="1:6" s="15" customFormat="1" ht="12.75" customHeight="1">
      <c r="A9" s="698" t="s">
        <v>340</v>
      </c>
      <c r="B9" s="135"/>
      <c r="C9" s="21" t="s">
        <v>897</v>
      </c>
      <c r="D9" s="107">
        <f>D11+D51</f>
        <v>1441485</v>
      </c>
      <c r="E9" s="850">
        <f>E11+E51</f>
        <v>1031482</v>
      </c>
      <c r="F9" s="851">
        <f>F11+F51</f>
        <v>226391</v>
      </c>
    </row>
    <row r="10" spans="1:6" s="15" customFormat="1" ht="9" customHeight="1">
      <c r="A10" s="706"/>
      <c r="B10" s="134"/>
      <c r="C10" s="18"/>
      <c r="D10" s="108"/>
      <c r="E10" s="852"/>
      <c r="F10" s="836"/>
    </row>
    <row r="11" spans="1:6" s="15" customFormat="1" ht="17.25" customHeight="1">
      <c r="A11" s="706"/>
      <c r="B11" s="707" t="s">
        <v>442</v>
      </c>
      <c r="C11" s="869" t="s">
        <v>760</v>
      </c>
      <c r="D11" s="109">
        <f>D12+D37</f>
        <v>1441485</v>
      </c>
      <c r="E11" s="109">
        <f>E12+E37</f>
        <v>1030887</v>
      </c>
      <c r="F11" s="866">
        <f>F12+F37</f>
        <v>225514</v>
      </c>
    </row>
    <row r="12" spans="1:6" s="14" customFormat="1" ht="15" customHeight="1">
      <c r="A12" s="708"/>
      <c r="B12" s="709" t="s">
        <v>316</v>
      </c>
      <c r="C12" s="87" t="s">
        <v>761</v>
      </c>
      <c r="D12" s="109">
        <f>SUM(D13:D24)+D32+D33</f>
        <v>534823</v>
      </c>
      <c r="E12" s="109">
        <f>SUM(E13:E24)+E32+E33+E34+E35</f>
        <v>435351</v>
      </c>
      <c r="F12" s="866">
        <f>SUM(F13:F24)+F32+F33+F34+F35</f>
        <v>48976</v>
      </c>
    </row>
    <row r="13" spans="1:6" s="14" customFormat="1" ht="14.25" customHeight="1">
      <c r="A13" s="708"/>
      <c r="B13" s="710">
        <v>1.1</v>
      </c>
      <c r="C13" s="22" t="s">
        <v>662</v>
      </c>
      <c r="D13" s="110">
        <f>200+819-12+328</f>
        <v>1335</v>
      </c>
      <c r="E13" s="110">
        <f>200+819-12+328</f>
        <v>1335</v>
      </c>
      <c r="F13" s="757">
        <v>1229</v>
      </c>
    </row>
    <row r="14" spans="1:6" s="16" customFormat="1" ht="14.25" customHeight="1">
      <c r="A14" s="708"/>
      <c r="B14" s="710">
        <v>1.2</v>
      </c>
      <c r="C14" s="22" t="s">
        <v>283</v>
      </c>
      <c r="D14" s="111">
        <v>2500</v>
      </c>
      <c r="E14" s="111">
        <v>2500</v>
      </c>
      <c r="F14" s="835">
        <v>0</v>
      </c>
    </row>
    <row r="15" spans="1:7" s="16" customFormat="1" ht="14.25" customHeight="1">
      <c r="A15" s="708"/>
      <c r="B15" s="710">
        <v>1.3</v>
      </c>
      <c r="C15" s="17" t="s">
        <v>663</v>
      </c>
      <c r="D15" s="112">
        <v>2000</v>
      </c>
      <c r="E15" s="112">
        <v>2000</v>
      </c>
      <c r="F15" s="835">
        <v>65</v>
      </c>
      <c r="G15" s="906"/>
    </row>
    <row r="16" spans="1:7" s="16" customFormat="1" ht="14.25" customHeight="1">
      <c r="A16" s="708"/>
      <c r="B16" s="710">
        <v>1.4</v>
      </c>
      <c r="C16" s="29" t="s">
        <v>582</v>
      </c>
      <c r="D16" s="112">
        <v>79900</v>
      </c>
      <c r="E16" s="112">
        <v>84012</v>
      </c>
      <c r="F16" s="835">
        <v>0</v>
      </c>
      <c r="G16" s="906"/>
    </row>
    <row r="17" spans="1:6" s="16" customFormat="1" ht="14.25" customHeight="1">
      <c r="A17" s="708"/>
      <c r="B17" s="710">
        <v>1.5</v>
      </c>
      <c r="C17" s="19" t="s">
        <v>664</v>
      </c>
      <c r="D17" s="112">
        <v>355150</v>
      </c>
      <c r="E17" s="112">
        <v>275546</v>
      </c>
      <c r="F17" s="835">
        <v>0</v>
      </c>
    </row>
    <row r="18" spans="1:6" s="16" customFormat="1" ht="14.25" customHeight="1">
      <c r="A18" s="708"/>
      <c r="B18" s="710">
        <v>1.6</v>
      </c>
      <c r="C18" s="46" t="s">
        <v>297</v>
      </c>
      <c r="D18" s="112">
        <v>500</v>
      </c>
      <c r="E18" s="112">
        <v>500</v>
      </c>
      <c r="F18" s="835">
        <v>0</v>
      </c>
    </row>
    <row r="19" spans="1:6" s="16" customFormat="1" ht="14.25" customHeight="1">
      <c r="A19" s="708"/>
      <c r="B19" s="710">
        <v>1.7</v>
      </c>
      <c r="C19" s="46" t="s">
        <v>585</v>
      </c>
      <c r="D19" s="112">
        <v>1513</v>
      </c>
      <c r="E19" s="112">
        <v>1513</v>
      </c>
      <c r="F19" s="835">
        <v>0</v>
      </c>
    </row>
    <row r="20" spans="1:6" s="16" customFormat="1" ht="14.25" customHeight="1">
      <c r="A20" s="708"/>
      <c r="B20" s="710">
        <v>1.8</v>
      </c>
      <c r="C20" s="50" t="s">
        <v>665</v>
      </c>
      <c r="D20" s="112">
        <v>6000</v>
      </c>
      <c r="E20" s="112">
        <v>6038</v>
      </c>
      <c r="F20" s="835">
        <v>6038</v>
      </c>
    </row>
    <row r="21" spans="1:6" s="16" customFormat="1" ht="14.25" customHeight="1">
      <c r="A21" s="708"/>
      <c r="B21" s="710">
        <v>1.9</v>
      </c>
      <c r="C21" s="46" t="s">
        <v>666</v>
      </c>
      <c r="D21" s="112">
        <v>49775</v>
      </c>
      <c r="E21" s="112">
        <v>2887</v>
      </c>
      <c r="F21" s="835">
        <v>0</v>
      </c>
    </row>
    <row r="22" spans="1:6" s="16" customFormat="1" ht="14.25" customHeight="1">
      <c r="A22" s="708"/>
      <c r="B22" s="711">
        <v>1.1</v>
      </c>
      <c r="C22" s="25" t="s">
        <v>668</v>
      </c>
      <c r="D22" s="112">
        <v>1200</v>
      </c>
      <c r="E22" s="112">
        <f>170+1200</f>
        <v>1370</v>
      </c>
      <c r="F22" s="835">
        <v>1366</v>
      </c>
    </row>
    <row r="23" spans="1:6" s="16" customFormat="1" ht="14.25" customHeight="1">
      <c r="A23" s="708"/>
      <c r="B23" s="711">
        <v>1.11</v>
      </c>
      <c r="C23" s="25" t="s">
        <v>669</v>
      </c>
      <c r="D23" s="112">
        <v>21500</v>
      </c>
      <c r="E23" s="112">
        <v>21697</v>
      </c>
      <c r="F23" s="835">
        <v>21697</v>
      </c>
    </row>
    <row r="24" spans="1:6" s="16" customFormat="1" ht="15.75" customHeight="1">
      <c r="A24" s="708"/>
      <c r="B24" s="711">
        <v>1.12</v>
      </c>
      <c r="C24" s="90" t="s">
        <v>826</v>
      </c>
      <c r="D24" s="112">
        <v>13450</v>
      </c>
      <c r="E24" s="112">
        <v>15522</v>
      </c>
      <c r="F24" s="835">
        <v>15095</v>
      </c>
    </row>
    <row r="25" spans="1:6" s="97" customFormat="1" ht="13.5" customHeight="1">
      <c r="A25" s="712"/>
      <c r="B25" s="713"/>
      <c r="C25" s="870" t="s">
        <v>824</v>
      </c>
      <c r="D25" s="113">
        <v>1000</v>
      </c>
      <c r="E25" s="113">
        <v>1000</v>
      </c>
      <c r="F25" s="871">
        <v>1000</v>
      </c>
    </row>
    <row r="26" spans="1:7" s="97" customFormat="1" ht="13.5" customHeight="1">
      <c r="A26" s="712"/>
      <c r="B26" s="713"/>
      <c r="C26" s="873" t="s">
        <v>820</v>
      </c>
      <c r="D26" s="874">
        <f>400+250+500</f>
        <v>1150</v>
      </c>
      <c r="E26" s="874">
        <f>400+250+500</f>
        <v>1150</v>
      </c>
      <c r="F26" s="875">
        <f>747+398</f>
        <v>1145</v>
      </c>
      <c r="G26" s="98"/>
    </row>
    <row r="27" spans="1:7" s="97" customFormat="1" ht="13.5" customHeight="1">
      <c r="A27" s="712"/>
      <c r="B27" s="713"/>
      <c r="C27" s="873" t="s">
        <v>821</v>
      </c>
      <c r="D27" s="874">
        <f>3000</f>
        <v>3000</v>
      </c>
      <c r="E27" s="874">
        <f>3000+1191</f>
        <v>4191</v>
      </c>
      <c r="F27" s="875">
        <v>4191</v>
      </c>
      <c r="G27" s="98"/>
    </row>
    <row r="28" spans="1:6" s="97" customFormat="1" ht="13.5" customHeight="1">
      <c r="A28" s="712"/>
      <c r="B28" s="713"/>
      <c r="C28" s="873" t="s">
        <v>825</v>
      </c>
      <c r="D28" s="874">
        <v>300</v>
      </c>
      <c r="E28" s="874">
        <v>300</v>
      </c>
      <c r="F28" s="875">
        <v>300</v>
      </c>
    </row>
    <row r="29" spans="1:7" s="97" customFormat="1" ht="13.5" customHeight="1">
      <c r="A29" s="712"/>
      <c r="B29" s="713"/>
      <c r="C29" s="873" t="s">
        <v>822</v>
      </c>
      <c r="D29" s="874">
        <f>4500</f>
        <v>4500</v>
      </c>
      <c r="E29" s="874">
        <f>4500+500</f>
        <v>5000</v>
      </c>
      <c r="F29" s="875">
        <v>4498</v>
      </c>
      <c r="G29" s="98"/>
    </row>
    <row r="30" spans="1:7" s="97" customFormat="1" ht="13.5" customHeight="1">
      <c r="A30" s="712"/>
      <c r="B30" s="713"/>
      <c r="C30" s="897" t="s">
        <v>823</v>
      </c>
      <c r="D30" s="872">
        <v>3500</v>
      </c>
      <c r="E30" s="872">
        <v>3500</v>
      </c>
      <c r="F30" s="898">
        <v>3500</v>
      </c>
      <c r="G30" s="98"/>
    </row>
    <row r="31" spans="1:6" s="97" customFormat="1" ht="13.5" customHeight="1">
      <c r="A31" s="712"/>
      <c r="B31" s="713"/>
      <c r="C31" s="899" t="s">
        <v>905</v>
      </c>
      <c r="D31" s="900">
        <v>0</v>
      </c>
      <c r="E31" s="900">
        <v>461</v>
      </c>
      <c r="F31" s="901">
        <f>80+381</f>
        <v>461</v>
      </c>
    </row>
    <row r="32" spans="1:6" s="16" customFormat="1" ht="15" customHeight="1">
      <c r="A32" s="708"/>
      <c r="B32" s="711">
        <v>1.13</v>
      </c>
      <c r="C32" s="90" t="s">
        <v>805</v>
      </c>
      <c r="D32" s="112">
        <v>0</v>
      </c>
      <c r="E32" s="112">
        <v>14377</v>
      </c>
      <c r="F32" s="835">
        <v>0</v>
      </c>
    </row>
    <row r="33" spans="1:6" s="16" customFormat="1" ht="15" customHeight="1">
      <c r="A33" s="708"/>
      <c r="B33" s="711">
        <v>1.14</v>
      </c>
      <c r="C33" s="90" t="s">
        <v>855</v>
      </c>
      <c r="D33" s="112">
        <v>0</v>
      </c>
      <c r="E33" s="112">
        <v>425</v>
      </c>
      <c r="F33" s="848">
        <v>38</v>
      </c>
    </row>
    <row r="34" spans="1:6" s="16" customFormat="1" ht="30" customHeight="1">
      <c r="A34" s="708"/>
      <c r="B34" s="711">
        <v>1.15</v>
      </c>
      <c r="C34" s="90" t="s">
        <v>917</v>
      </c>
      <c r="D34" s="112">
        <v>0</v>
      </c>
      <c r="E34" s="114">
        <v>410</v>
      </c>
      <c r="F34" s="835">
        <v>0</v>
      </c>
    </row>
    <row r="35" spans="1:6" s="16" customFormat="1" ht="15" customHeight="1">
      <c r="A35" s="708"/>
      <c r="B35" s="711">
        <v>1.16</v>
      </c>
      <c r="C35" s="90" t="s">
        <v>918</v>
      </c>
      <c r="D35" s="114"/>
      <c r="E35" s="114">
        <v>5219</v>
      </c>
      <c r="F35" s="835">
        <f>2715+733</f>
        <v>3448</v>
      </c>
    </row>
    <row r="36" spans="1:6" s="16" customFormat="1" ht="9.75" customHeight="1">
      <c r="A36" s="708"/>
      <c r="B36" s="419"/>
      <c r="C36" s="19"/>
      <c r="D36" s="117"/>
      <c r="E36" s="695"/>
      <c r="F36" s="757"/>
    </row>
    <row r="37" spans="1:6" s="16" customFormat="1" ht="18" customHeight="1">
      <c r="A37" s="708"/>
      <c r="B37" s="709" t="s">
        <v>318</v>
      </c>
      <c r="C37" s="84" t="s">
        <v>708</v>
      </c>
      <c r="D37" s="108">
        <f>SUM(D38:D46)</f>
        <v>906662</v>
      </c>
      <c r="E37" s="108">
        <f>SUM(E38:E49)</f>
        <v>595536</v>
      </c>
      <c r="F37" s="865">
        <f>SUM(F38:F49)</f>
        <v>176538</v>
      </c>
    </row>
    <row r="38" spans="1:7" s="16" customFormat="1" ht="14.25" customHeight="1">
      <c r="A38" s="708"/>
      <c r="B38" s="419">
        <v>2.1</v>
      </c>
      <c r="C38" s="90" t="s">
        <v>713</v>
      </c>
      <c r="D38" s="112">
        <f>485077-354283-62521</f>
        <v>68273</v>
      </c>
      <c r="E38" s="112">
        <v>95499</v>
      </c>
      <c r="F38" s="835">
        <f>12720+3220</f>
        <v>15940</v>
      </c>
      <c r="G38" s="906"/>
    </row>
    <row r="39" spans="1:6" s="16" customFormat="1" ht="16.5" customHeight="1">
      <c r="A39" s="708"/>
      <c r="B39" s="419">
        <v>2.2</v>
      </c>
      <c r="C39" s="59" t="s">
        <v>714</v>
      </c>
      <c r="D39" s="112">
        <v>33075</v>
      </c>
      <c r="E39" s="112">
        <v>36188</v>
      </c>
      <c r="F39" s="835">
        <v>707</v>
      </c>
    </row>
    <row r="40" spans="1:6" s="16" customFormat="1" ht="14.25" customHeight="1">
      <c r="A40" s="708"/>
      <c r="B40" s="419">
        <v>2.3</v>
      </c>
      <c r="C40" s="106" t="s">
        <v>676</v>
      </c>
      <c r="D40" s="112">
        <v>468457</v>
      </c>
      <c r="E40" s="112">
        <v>187286</v>
      </c>
      <c r="F40" s="835">
        <f>9+23470+91586+30900</f>
        <v>145965</v>
      </c>
    </row>
    <row r="41" spans="1:6" s="16" customFormat="1" ht="15.75" customHeight="1">
      <c r="A41" s="708"/>
      <c r="B41" s="419">
        <v>2.4</v>
      </c>
      <c r="C41" s="58" t="s">
        <v>678</v>
      </c>
      <c r="D41" s="112">
        <v>62446</v>
      </c>
      <c r="E41" s="112">
        <v>7274</v>
      </c>
      <c r="F41" s="835">
        <f>90+3134+846</f>
        <v>4070</v>
      </c>
    </row>
    <row r="42" spans="1:6" s="16" customFormat="1" ht="14.25" customHeight="1">
      <c r="A42" s="708"/>
      <c r="B42" s="419">
        <v>2.5</v>
      </c>
      <c r="C42" s="57" t="s">
        <v>715</v>
      </c>
      <c r="D42" s="112">
        <v>14404</v>
      </c>
      <c r="E42" s="112">
        <v>0</v>
      </c>
      <c r="F42" s="835">
        <v>4</v>
      </c>
    </row>
    <row r="43" spans="1:6" s="16" customFormat="1" ht="15.75" customHeight="1">
      <c r="A43" s="708"/>
      <c r="B43" s="419">
        <v>2.6</v>
      </c>
      <c r="C43" s="57" t="s">
        <v>679</v>
      </c>
      <c r="D43" s="112">
        <v>258788</v>
      </c>
      <c r="E43" s="112">
        <v>262257</v>
      </c>
      <c r="F43" s="835">
        <f>8891+4</f>
        <v>8895</v>
      </c>
    </row>
    <row r="44" spans="1:6" s="16" customFormat="1" ht="12.75" customHeight="1">
      <c r="A44" s="708"/>
      <c r="B44" s="419">
        <v>2.7</v>
      </c>
      <c r="C44" s="90" t="s">
        <v>667</v>
      </c>
      <c r="D44" s="112">
        <v>1219</v>
      </c>
      <c r="E44" s="112">
        <v>1219</v>
      </c>
      <c r="F44" s="835">
        <v>0</v>
      </c>
    </row>
    <row r="45" spans="1:6" s="16" customFormat="1" ht="25.5" customHeight="1">
      <c r="A45" s="708"/>
      <c r="B45" s="419">
        <v>2.8</v>
      </c>
      <c r="C45" s="105" t="s">
        <v>853</v>
      </c>
      <c r="D45" s="112">
        <v>0</v>
      </c>
      <c r="E45" s="112">
        <v>3</v>
      </c>
      <c r="F45" s="835">
        <v>3</v>
      </c>
    </row>
    <row r="46" spans="1:6" s="16" customFormat="1" ht="27" customHeight="1">
      <c r="A46" s="708"/>
      <c r="B46" s="419">
        <v>2.9</v>
      </c>
      <c r="C46" s="105" t="s">
        <v>854</v>
      </c>
      <c r="D46" s="112">
        <v>0</v>
      </c>
      <c r="E46" s="114">
        <v>0</v>
      </c>
      <c r="F46" s="835">
        <v>0</v>
      </c>
    </row>
    <row r="47" spans="1:6" s="16" customFormat="1" ht="18" customHeight="1">
      <c r="A47" s="708"/>
      <c r="B47" s="711">
        <v>2.1</v>
      </c>
      <c r="C47" s="25" t="s">
        <v>677</v>
      </c>
      <c r="D47" s="112">
        <v>0</v>
      </c>
      <c r="E47" s="114">
        <v>5000</v>
      </c>
      <c r="F47" s="835">
        <v>142</v>
      </c>
    </row>
    <row r="48" spans="1:6" s="16" customFormat="1" ht="18" customHeight="1">
      <c r="A48" s="708"/>
      <c r="B48" s="908" t="s">
        <v>919</v>
      </c>
      <c r="C48" s="90" t="s">
        <v>895</v>
      </c>
      <c r="D48" s="112"/>
      <c r="E48" s="117">
        <v>630</v>
      </c>
      <c r="F48" s="757">
        <v>632</v>
      </c>
    </row>
    <row r="49" spans="1:6" s="16" customFormat="1" ht="18" customHeight="1">
      <c r="A49" s="708"/>
      <c r="B49" s="908" t="s">
        <v>920</v>
      </c>
      <c r="C49" s="90" t="s">
        <v>904</v>
      </c>
      <c r="D49" s="112"/>
      <c r="E49" s="114">
        <v>180</v>
      </c>
      <c r="F49" s="835">
        <v>180</v>
      </c>
    </row>
    <row r="50" spans="1:6" s="16" customFormat="1" ht="9" customHeight="1">
      <c r="A50" s="708"/>
      <c r="B50" s="419"/>
      <c r="C50" s="46"/>
      <c r="D50" s="112"/>
      <c r="E50" s="695"/>
      <c r="F50" s="757"/>
    </row>
    <row r="51" spans="1:6" s="16" customFormat="1" ht="14.25" customHeight="1">
      <c r="A51" s="714"/>
      <c r="B51" s="709" t="s">
        <v>443</v>
      </c>
      <c r="C51" s="104" t="s">
        <v>762</v>
      </c>
      <c r="D51" s="109">
        <v>0</v>
      </c>
      <c r="E51" s="109">
        <f>E52+E54</f>
        <v>595</v>
      </c>
      <c r="F51" s="866">
        <f>F52+F54+F53</f>
        <v>877</v>
      </c>
    </row>
    <row r="52" spans="1:6" s="16" customFormat="1" ht="14.25" customHeight="1">
      <c r="A52" s="714"/>
      <c r="B52" s="419">
        <v>1</v>
      </c>
      <c r="C52" s="17" t="s">
        <v>921</v>
      </c>
      <c r="D52" s="117">
        <v>0</v>
      </c>
      <c r="E52" s="117">
        <v>180</v>
      </c>
      <c r="F52" s="909">
        <v>180</v>
      </c>
    </row>
    <row r="53" spans="1:6" s="16" customFormat="1" ht="14.25" customHeight="1">
      <c r="A53" s="714"/>
      <c r="B53" s="419">
        <v>2</v>
      </c>
      <c r="C53" s="25" t="s">
        <v>471</v>
      </c>
      <c r="D53" s="114">
        <v>0</v>
      </c>
      <c r="E53" s="114">
        <v>0</v>
      </c>
      <c r="F53" s="910">
        <v>397</v>
      </c>
    </row>
    <row r="54" spans="1:6" s="16" customFormat="1" ht="14.25" customHeight="1">
      <c r="A54" s="714"/>
      <c r="B54" s="419">
        <v>3</v>
      </c>
      <c r="C54" s="19" t="s">
        <v>922</v>
      </c>
      <c r="D54" s="154"/>
      <c r="E54" s="154">
        <v>415</v>
      </c>
      <c r="F54" s="1497">
        <v>300</v>
      </c>
    </row>
    <row r="55" spans="1:6" s="16" customFormat="1" ht="8.25" customHeight="1">
      <c r="A55" s="714"/>
      <c r="B55" s="419"/>
      <c r="C55" s="25"/>
      <c r="D55" s="114"/>
      <c r="E55" s="697"/>
      <c r="F55" s="849"/>
    </row>
    <row r="56" spans="1:6" s="16" customFormat="1" ht="14.25" customHeight="1">
      <c r="A56" s="714" t="s">
        <v>341</v>
      </c>
      <c r="B56" s="419"/>
      <c r="C56" s="49" t="s">
        <v>896</v>
      </c>
      <c r="D56" s="115">
        <f>D58+D76</f>
        <v>317204</v>
      </c>
      <c r="E56" s="115">
        <f>E58+E76</f>
        <v>816554</v>
      </c>
      <c r="F56" s="867">
        <f>F58+F76</f>
        <v>660374</v>
      </c>
    </row>
    <row r="57" spans="1:6" s="16" customFormat="1" ht="11.25" customHeight="1">
      <c r="A57" s="714"/>
      <c r="B57" s="419"/>
      <c r="C57" s="49"/>
      <c r="D57" s="115"/>
      <c r="E57" s="696"/>
      <c r="F57" s="836"/>
    </row>
    <row r="58" spans="1:6" s="88" customFormat="1" ht="13.5" customHeight="1">
      <c r="A58" s="714"/>
      <c r="B58" s="709" t="s">
        <v>442</v>
      </c>
      <c r="C58" s="18" t="s">
        <v>763</v>
      </c>
      <c r="D58" s="115">
        <f>D59+D65</f>
        <v>316807</v>
      </c>
      <c r="E58" s="115">
        <f>E59+E65</f>
        <v>816157</v>
      </c>
      <c r="F58" s="867">
        <f>F59+F65</f>
        <v>660374</v>
      </c>
    </row>
    <row r="59" spans="1:6" s="88" customFormat="1" ht="14.25" customHeight="1">
      <c r="A59" s="714"/>
      <c r="B59" s="709" t="s">
        <v>316</v>
      </c>
      <c r="C59" s="89" t="s">
        <v>761</v>
      </c>
      <c r="D59" s="115">
        <f>D60+D61+D62</f>
        <v>68834</v>
      </c>
      <c r="E59" s="115">
        <f>E60+E61+E62+E63</f>
        <v>69751</v>
      </c>
      <c r="F59" s="867">
        <f>F60+F61+F62+F63</f>
        <v>19985</v>
      </c>
    </row>
    <row r="60" spans="1:6" s="16" customFormat="1" ht="14.25" customHeight="1">
      <c r="A60" s="714"/>
      <c r="B60" s="419">
        <v>1.1</v>
      </c>
      <c r="C60" s="22" t="s">
        <v>583</v>
      </c>
      <c r="D60" s="114">
        <v>6771</v>
      </c>
      <c r="E60" s="695">
        <v>0</v>
      </c>
      <c r="F60" s="757">
        <v>0</v>
      </c>
    </row>
    <row r="61" spans="1:6" s="16" customFormat="1" ht="14.25" customHeight="1">
      <c r="A61" s="714"/>
      <c r="B61" s="419">
        <v>1.2</v>
      </c>
      <c r="C61" s="25" t="s">
        <v>698</v>
      </c>
      <c r="D61" s="114">
        <f>39850+9962</f>
        <v>49812</v>
      </c>
      <c r="E61" s="697">
        <v>49812</v>
      </c>
      <c r="F61" s="835">
        <v>47</v>
      </c>
    </row>
    <row r="62" spans="1:6" s="16" customFormat="1" ht="14.25" customHeight="1">
      <c r="A62" s="714"/>
      <c r="B62" s="419">
        <v>1.3</v>
      </c>
      <c r="C62" s="17" t="s">
        <v>784</v>
      </c>
      <c r="D62" s="112">
        <v>12251</v>
      </c>
      <c r="E62" s="697">
        <v>12458</v>
      </c>
      <c r="F62" s="835">
        <v>12458</v>
      </c>
    </row>
    <row r="63" spans="1:6" s="16" customFormat="1" ht="14.25" customHeight="1">
      <c r="A63" s="714"/>
      <c r="B63" s="419">
        <v>1.4</v>
      </c>
      <c r="C63" s="90" t="s">
        <v>918</v>
      </c>
      <c r="D63" s="112">
        <v>0</v>
      </c>
      <c r="E63" s="697">
        <v>7481</v>
      </c>
      <c r="F63" s="835">
        <f>5890+1590</f>
        <v>7480</v>
      </c>
    </row>
    <row r="64" spans="1:6" s="16" customFormat="1" ht="9.75" customHeight="1">
      <c r="A64" s="714"/>
      <c r="B64" s="419"/>
      <c r="C64" s="46"/>
      <c r="D64" s="112"/>
      <c r="E64" s="695"/>
      <c r="F64" s="757"/>
    </row>
    <row r="65" spans="1:6" s="88" customFormat="1" ht="15.75" customHeight="1">
      <c r="A65" s="714"/>
      <c r="B65" s="709" t="s">
        <v>318</v>
      </c>
      <c r="C65" s="84" t="s">
        <v>708</v>
      </c>
      <c r="D65" s="109">
        <f>D66</f>
        <v>247973</v>
      </c>
      <c r="E65" s="109">
        <f>E66+E67+E68+E69+E70+E71+E72+E73+E74</f>
        <v>746406</v>
      </c>
      <c r="F65" s="866">
        <f>F66+F67+F68+F69+F71+F72+F74</f>
        <v>640389</v>
      </c>
    </row>
    <row r="66" spans="1:6" s="16" customFormat="1" ht="14.25" customHeight="1">
      <c r="A66" s="714"/>
      <c r="B66" s="419">
        <v>2.1</v>
      </c>
      <c r="C66" s="25" t="s">
        <v>677</v>
      </c>
      <c r="D66" s="114">
        <v>247973</v>
      </c>
      <c r="E66" s="697">
        <v>261402</v>
      </c>
      <c r="F66" s="835">
        <f>155556+35491</f>
        <v>191047</v>
      </c>
    </row>
    <row r="67" spans="1:6" s="16" customFormat="1" ht="14.25" customHeight="1">
      <c r="A67" s="714"/>
      <c r="B67" s="419">
        <v>2.2</v>
      </c>
      <c r="C67" s="58" t="s">
        <v>678</v>
      </c>
      <c r="D67" s="114">
        <v>0</v>
      </c>
      <c r="E67" s="695">
        <v>66258</v>
      </c>
      <c r="F67" s="757">
        <f>52029+157+14071+1</f>
        <v>66258</v>
      </c>
    </row>
    <row r="68" spans="1:6" s="16" customFormat="1" ht="14.25" customHeight="1">
      <c r="A68" s="714"/>
      <c r="B68" s="419">
        <v>2.3</v>
      </c>
      <c r="C68" s="106" t="s">
        <v>676</v>
      </c>
      <c r="D68" s="114">
        <v>0</v>
      </c>
      <c r="E68" s="697">
        <v>318900</v>
      </c>
      <c r="F68" s="835">
        <f>250222+67463</f>
        <v>317685</v>
      </c>
    </row>
    <row r="69" spans="1:6" s="16" customFormat="1" ht="14.25" customHeight="1">
      <c r="A69" s="714"/>
      <c r="B69" s="419">
        <v>2.4</v>
      </c>
      <c r="C69" s="90" t="s">
        <v>713</v>
      </c>
      <c r="D69" s="114">
        <v>0</v>
      </c>
      <c r="E69" s="697">
        <v>54610</v>
      </c>
      <c r="F69" s="835">
        <f>33511+2604+9653-1</f>
        <v>45767</v>
      </c>
    </row>
    <row r="70" spans="1:6" s="16" customFormat="1" ht="14.25" customHeight="1">
      <c r="A70" s="714"/>
      <c r="B70" s="419">
        <v>2.5</v>
      </c>
      <c r="C70" s="57" t="s">
        <v>679</v>
      </c>
      <c r="D70" s="114">
        <v>0</v>
      </c>
      <c r="E70" s="697">
        <v>635</v>
      </c>
      <c r="F70" s="835"/>
    </row>
    <row r="71" spans="1:6" s="16" customFormat="1" ht="25.5">
      <c r="A71" s="714"/>
      <c r="B71" s="419">
        <v>2.6</v>
      </c>
      <c r="C71" s="105" t="s">
        <v>853</v>
      </c>
      <c r="D71" s="114">
        <v>0</v>
      </c>
      <c r="E71" s="697">
        <v>19697</v>
      </c>
      <c r="F71" s="835">
        <f>10244+2753+1</f>
        <v>12998</v>
      </c>
    </row>
    <row r="72" spans="1:6" s="16" customFormat="1" ht="12.75">
      <c r="A72" s="714"/>
      <c r="B72" s="419">
        <v>2.7</v>
      </c>
      <c r="C72" s="58" t="s">
        <v>715</v>
      </c>
      <c r="D72" s="114"/>
      <c r="E72" s="697">
        <v>14404</v>
      </c>
      <c r="F72" s="835">
        <v>4450</v>
      </c>
    </row>
    <row r="73" spans="1:6" s="16" customFormat="1" ht="12.75">
      <c r="A73" s="714"/>
      <c r="B73" s="419">
        <v>2.8</v>
      </c>
      <c r="C73" s="58" t="s">
        <v>373</v>
      </c>
      <c r="D73" s="114"/>
      <c r="E73" s="697">
        <v>8300</v>
      </c>
      <c r="F73" s="835">
        <v>0</v>
      </c>
    </row>
    <row r="74" spans="1:6" s="16" customFormat="1" ht="25.5">
      <c r="A74" s="714"/>
      <c r="B74" s="419">
        <v>2.9</v>
      </c>
      <c r="C74" s="105" t="s">
        <v>854</v>
      </c>
      <c r="D74" s="114"/>
      <c r="E74" s="697">
        <v>2200</v>
      </c>
      <c r="F74" s="835">
        <v>2184</v>
      </c>
    </row>
    <row r="75" spans="1:6" s="16" customFormat="1" ht="9.75" customHeight="1">
      <c r="A75" s="714"/>
      <c r="B75" s="419"/>
      <c r="C75" s="25"/>
      <c r="D75" s="114"/>
      <c r="E75" s="695"/>
      <c r="F75" s="757"/>
    </row>
    <row r="76" spans="1:6" s="16" customFormat="1" ht="14.25" customHeight="1">
      <c r="A76" s="714"/>
      <c r="B76" s="709" t="s">
        <v>443</v>
      </c>
      <c r="C76" s="48" t="s">
        <v>764</v>
      </c>
      <c r="D76" s="115">
        <f>D77</f>
        <v>397</v>
      </c>
      <c r="E76" s="115">
        <f>E77</f>
        <v>397</v>
      </c>
      <c r="F76" s="171">
        <f>F77</f>
        <v>0</v>
      </c>
    </row>
    <row r="77" spans="1:6" s="16" customFormat="1" ht="14.25" customHeight="1" thickBot="1">
      <c r="A77" s="714"/>
      <c r="B77" s="419">
        <v>1</v>
      </c>
      <c r="C77" s="47" t="s">
        <v>670</v>
      </c>
      <c r="D77" s="116">
        <v>397</v>
      </c>
      <c r="E77" s="695">
        <v>397</v>
      </c>
      <c r="F77" s="757">
        <v>0</v>
      </c>
    </row>
    <row r="78" spans="1:6" s="16" customFormat="1" ht="14.25" customHeight="1" thickBot="1" thickTop="1">
      <c r="A78" s="1986" t="s">
        <v>444</v>
      </c>
      <c r="B78" s="1987"/>
      <c r="C78" s="1988"/>
      <c r="D78" s="251">
        <f>+D11+D56</f>
        <v>1758689</v>
      </c>
      <c r="E78" s="251">
        <f>+E11+E56+E51</f>
        <v>1848036</v>
      </c>
      <c r="F78" s="252">
        <f>+F11+F56+F51</f>
        <v>886765</v>
      </c>
    </row>
    <row r="79" spans="1:6" s="16" customFormat="1" ht="7.5" customHeight="1">
      <c r="A79" s="708"/>
      <c r="B79" s="715"/>
      <c r="C79" s="716"/>
      <c r="D79" s="117"/>
      <c r="E79" s="695"/>
      <c r="F79" s="757"/>
    </row>
    <row r="80" spans="1:6" s="16" customFormat="1" ht="14.25" customHeight="1">
      <c r="A80" s="706" t="s">
        <v>353</v>
      </c>
      <c r="B80" s="134"/>
      <c r="C80" s="18" t="s">
        <v>589</v>
      </c>
      <c r="D80" s="108">
        <f>D82</f>
        <v>33858</v>
      </c>
      <c r="E80" s="108">
        <f>E82</f>
        <v>45071</v>
      </c>
      <c r="F80" s="202">
        <f>F82</f>
        <v>17741</v>
      </c>
    </row>
    <row r="81" spans="1:6" s="16" customFormat="1" ht="8.25" customHeight="1">
      <c r="A81" s="706"/>
      <c r="B81" s="134"/>
      <c r="C81" s="18"/>
      <c r="D81" s="117"/>
      <c r="E81" s="695"/>
      <c r="F81" s="832"/>
    </row>
    <row r="82" spans="1:6" s="16" customFormat="1" ht="14.25" customHeight="1">
      <c r="A82" s="706"/>
      <c r="B82" s="707" t="s">
        <v>442</v>
      </c>
      <c r="C82" s="18" t="s">
        <v>771</v>
      </c>
      <c r="D82" s="109">
        <f>D83+D88</f>
        <v>33858</v>
      </c>
      <c r="E82" s="109">
        <f>E83+E88</f>
        <v>45071</v>
      </c>
      <c r="F82" s="155">
        <f>F83+F88</f>
        <v>17741</v>
      </c>
    </row>
    <row r="83" spans="1:6" s="16" customFormat="1" ht="14.25" customHeight="1">
      <c r="A83" s="706"/>
      <c r="B83" s="707" t="s">
        <v>316</v>
      </c>
      <c r="C83" s="89" t="s">
        <v>761</v>
      </c>
      <c r="D83" s="108">
        <f>D84+D85</f>
        <v>5529</v>
      </c>
      <c r="E83" s="108">
        <f>E84+E85</f>
        <v>5529</v>
      </c>
      <c r="F83" s="202">
        <f>F84+F85+F86</f>
        <v>397</v>
      </c>
    </row>
    <row r="84" spans="1:6" s="16" customFormat="1" ht="14.25" customHeight="1">
      <c r="A84" s="717"/>
      <c r="B84" s="419">
        <v>1.1</v>
      </c>
      <c r="C84" s="20" t="s">
        <v>473</v>
      </c>
      <c r="D84" s="114">
        <v>3529</v>
      </c>
      <c r="E84" s="697">
        <v>3529</v>
      </c>
      <c r="F84" s="835">
        <v>0</v>
      </c>
    </row>
    <row r="85" spans="1:6" s="16" customFormat="1" ht="14.25" customHeight="1">
      <c r="A85" s="708"/>
      <c r="B85" s="419">
        <v>1.2</v>
      </c>
      <c r="C85" s="20" t="s">
        <v>562</v>
      </c>
      <c r="D85" s="114">
        <v>2000</v>
      </c>
      <c r="E85" s="697">
        <v>2000</v>
      </c>
      <c r="F85" s="835">
        <v>0</v>
      </c>
    </row>
    <row r="86" spans="1:6" s="16" customFormat="1" ht="14.25" customHeight="1">
      <c r="A86" s="853"/>
      <c r="B86" s="854">
        <v>1.3</v>
      </c>
      <c r="C86" s="855" t="s">
        <v>894</v>
      </c>
      <c r="D86" s="856">
        <v>0</v>
      </c>
      <c r="E86" s="857">
        <v>0</v>
      </c>
      <c r="F86" s="858">
        <v>397</v>
      </c>
    </row>
    <row r="87" spans="1:6" s="16" customFormat="1" ht="8.25" customHeight="1">
      <c r="A87" s="859"/>
      <c r="B87" s="860"/>
      <c r="C87" s="861"/>
      <c r="D87" s="862"/>
      <c r="E87" s="863"/>
      <c r="F87" s="864"/>
    </row>
    <row r="88" spans="1:6" s="88" customFormat="1" ht="25.5" customHeight="1">
      <c r="A88" s="714"/>
      <c r="B88" s="709" t="s">
        <v>318</v>
      </c>
      <c r="C88" s="84" t="s">
        <v>709</v>
      </c>
      <c r="D88" s="109">
        <f>D89+D90+D91+D92+D93</f>
        <v>28329</v>
      </c>
      <c r="E88" s="109">
        <f>E89+E90+E91+E92+E93+E94</f>
        <v>39542</v>
      </c>
      <c r="F88" s="155">
        <f>F89+F90+F91+F92+F93+F94</f>
        <v>17344</v>
      </c>
    </row>
    <row r="89" spans="1:6" s="16" customFormat="1" ht="29.25" customHeight="1">
      <c r="A89" s="708"/>
      <c r="B89" s="419">
        <v>2.1</v>
      </c>
      <c r="C89" s="83" t="s">
        <v>696</v>
      </c>
      <c r="D89" s="117">
        <v>20939</v>
      </c>
      <c r="E89" s="695">
        <v>20939</v>
      </c>
      <c r="F89" s="757">
        <v>826</v>
      </c>
    </row>
    <row r="90" spans="1:6" s="16" customFormat="1" ht="38.25" customHeight="1">
      <c r="A90" s="708"/>
      <c r="B90" s="419">
        <v>2.2</v>
      </c>
      <c r="C90" s="20" t="s">
        <v>281</v>
      </c>
      <c r="D90" s="114">
        <v>3540</v>
      </c>
      <c r="E90" s="697">
        <v>3570</v>
      </c>
      <c r="F90" s="835">
        <v>3285</v>
      </c>
    </row>
    <row r="91" spans="1:6" s="16" customFormat="1" ht="29.25" customHeight="1">
      <c r="A91" s="708"/>
      <c r="B91" s="419">
        <v>2.3</v>
      </c>
      <c r="C91" s="92" t="s">
        <v>773</v>
      </c>
      <c r="D91" s="117">
        <v>3850</v>
      </c>
      <c r="E91" s="697">
        <v>3875</v>
      </c>
      <c r="F91" s="835">
        <v>2235</v>
      </c>
    </row>
    <row r="92" spans="1:6" s="16" customFormat="1" ht="26.25" customHeight="1">
      <c r="A92" s="708"/>
      <c r="B92" s="419">
        <v>2.4</v>
      </c>
      <c r="C92" s="83" t="s">
        <v>810</v>
      </c>
      <c r="D92" s="112">
        <v>0</v>
      </c>
      <c r="E92" s="697">
        <v>5239</v>
      </c>
      <c r="F92" s="835">
        <v>5239</v>
      </c>
    </row>
    <row r="93" spans="1:6" s="16" customFormat="1" ht="26.25" customHeight="1">
      <c r="A93" s="708"/>
      <c r="B93" s="419">
        <v>2.5</v>
      </c>
      <c r="C93" s="83" t="s">
        <v>851</v>
      </c>
      <c r="D93" s="112">
        <v>0</v>
      </c>
      <c r="E93" s="695">
        <v>159</v>
      </c>
      <c r="F93" s="757">
        <v>0</v>
      </c>
    </row>
    <row r="94" spans="1:6" s="16" customFormat="1" ht="26.25" customHeight="1" thickBot="1">
      <c r="A94" s="708"/>
      <c r="B94" s="419">
        <v>2.6</v>
      </c>
      <c r="C94" s="93" t="s">
        <v>923</v>
      </c>
      <c r="D94" s="116"/>
      <c r="E94" s="911">
        <v>5760</v>
      </c>
      <c r="F94" s="912">
        <v>5759</v>
      </c>
    </row>
    <row r="95" spans="1:6" ht="14.25" customHeight="1" thickBot="1" thickTop="1">
      <c r="A95" s="1989" t="s">
        <v>444</v>
      </c>
      <c r="B95" s="1990"/>
      <c r="C95" s="1991"/>
      <c r="D95" s="193">
        <f>D80</f>
        <v>33858</v>
      </c>
      <c r="E95" s="193">
        <f>E80</f>
        <v>45071</v>
      </c>
      <c r="F95" s="199">
        <f>F80</f>
        <v>17741</v>
      </c>
    </row>
    <row r="96" spans="1:6" ht="14.25" customHeight="1" thickTop="1">
      <c r="A96" s="718"/>
      <c r="B96" s="719"/>
      <c r="C96" s="720" t="s">
        <v>445</v>
      </c>
      <c r="D96" s="1977">
        <f>D78+D95</f>
        <v>1792547</v>
      </c>
      <c r="E96" s="1977">
        <f>E78+E95</f>
        <v>1893107</v>
      </c>
      <c r="F96" s="1979">
        <f>F78+F95</f>
        <v>904506</v>
      </c>
    </row>
    <row r="97" spans="1:6" ht="14.25" customHeight="1" thickBot="1">
      <c r="A97" s="261"/>
      <c r="B97" s="133"/>
      <c r="C97" s="721" t="s">
        <v>484</v>
      </c>
      <c r="D97" s="1978"/>
      <c r="E97" s="1978"/>
      <c r="F97" s="1980"/>
    </row>
    <row r="98" spans="1:6" ht="14.25" customHeight="1">
      <c r="A98" s="698" t="s">
        <v>376</v>
      </c>
      <c r="B98" s="699"/>
      <c r="C98" s="21" t="s">
        <v>481</v>
      </c>
      <c r="D98" s="700"/>
      <c r="E98" s="701"/>
      <c r="F98" s="832"/>
    </row>
    <row r="99" spans="1:6" ht="14.25" customHeight="1" thickBot="1">
      <c r="A99" s="702"/>
      <c r="B99" s="134"/>
      <c r="C99" s="703" t="s">
        <v>588</v>
      </c>
      <c r="D99" s="704">
        <v>978</v>
      </c>
      <c r="E99" s="705">
        <v>978</v>
      </c>
      <c r="F99" s="833">
        <v>978</v>
      </c>
    </row>
    <row r="100" spans="1:6" ht="14.25" customHeight="1" thickBot="1" thickTop="1">
      <c r="A100" s="1981" t="s">
        <v>815</v>
      </c>
      <c r="B100" s="1982"/>
      <c r="C100" s="1982"/>
      <c r="D100" s="251">
        <f>D96+D99</f>
        <v>1793525</v>
      </c>
      <c r="E100" s="251">
        <f>E96+E99</f>
        <v>1894085</v>
      </c>
      <c r="F100" s="868">
        <f>F96+F99</f>
        <v>905484</v>
      </c>
    </row>
  </sheetData>
  <sheetProtection/>
  <mergeCells count="9">
    <mergeCell ref="E96:E97"/>
    <mergeCell ref="F96:F97"/>
    <mergeCell ref="C1:D1"/>
    <mergeCell ref="A100:C100"/>
    <mergeCell ref="D96:D97"/>
    <mergeCell ref="A8:C8"/>
    <mergeCell ref="A78:C78"/>
    <mergeCell ref="A95:C95"/>
    <mergeCell ref="E7:F7"/>
  </mergeCells>
  <printOptions horizontalCentered="1"/>
  <pageMargins left="0.7874015748031497" right="0.7874015748031497" top="0.5905511811023623" bottom="0.3937007874015748" header="0.5118110236220472" footer="0"/>
  <pageSetup horizontalDpi="600" verticalDpi="600" orientation="portrait" paperSize="9" scale="74" r:id="rId2"/>
  <rowBreaks count="1" manualBreakCount="1">
    <brk id="7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oroszizsuzsanna</cp:lastModifiedBy>
  <cp:lastPrinted>2013-04-24T12:54:06Z</cp:lastPrinted>
  <dcterms:created xsi:type="dcterms:W3CDTF">2006-02-08T00:02:41Z</dcterms:created>
  <dcterms:modified xsi:type="dcterms:W3CDTF">2013-04-29T07:44:46Z</dcterms:modified>
  <cp:category/>
  <cp:version/>
  <cp:contentType/>
  <cp:contentStatus/>
</cp:coreProperties>
</file>