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tabRatio="866" activeTab="19"/>
  </bookViews>
  <sheets>
    <sheet name="1" sheetId="1" r:id="rId1"/>
    <sheet name="ném" sheetId="2" r:id="rId2"/>
    <sheet name="szlo" sheetId="3" r:id="rId3"/>
    <sheet name="cig" sheetId="4" r:id="rId4"/>
    <sheet name="2" sheetId="5" r:id="rId5"/>
    <sheet name="4" sheetId="6" r:id="rId6"/>
    <sheet name="3" sheetId="7" r:id="rId7"/>
    <sheet name="5" sheetId="8" r:id="rId8"/>
    <sheet name="6" sheetId="9" r:id="rId9"/>
    <sheet name="7" sheetId="10" r:id="rId10"/>
    <sheet name="8" sheetId="11" r:id="rId11"/>
    <sheet name="9 G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</sheets>
  <externalReferences>
    <externalReference r:id="rId23"/>
  </externalReferences>
  <definedNames>
    <definedName name="_xlnm.Print_Titles" localSheetId="14">'12'!$6:$8</definedName>
    <definedName name="_xlnm.Print_Titles" localSheetId="4">'2'!$6:$9</definedName>
    <definedName name="_xlnm.Print_Titles" localSheetId="6">'3'!$4:$5</definedName>
    <definedName name="_xlnm.Print_Titles" localSheetId="5">'4'!$9:$12</definedName>
    <definedName name="_xlnm.Print_Titles" localSheetId="7">'5'!$4:$6</definedName>
    <definedName name="_xlnm.Print_Titles" localSheetId="8">'6'!$4:$6</definedName>
    <definedName name="_xlnm.Print_Titles" localSheetId="10">'8'!$4:$4</definedName>
    <definedName name="_xlnm.Print_Titles" localSheetId="3">'cig'!$5:$8</definedName>
    <definedName name="_xlnm.Print_Titles" localSheetId="1">'ném'!$4:$7</definedName>
    <definedName name="_xlnm.Print_Titles" localSheetId="2">'szlo'!$4:$5</definedName>
    <definedName name="_xlnm.Print_Area" localSheetId="15">'13'!$A$1:$G$62</definedName>
    <definedName name="_xlnm.Print_Area" localSheetId="4">'2'!$A$1:$E$149</definedName>
    <definedName name="_xlnm.Print_Area" localSheetId="6">'3'!$A$1:$F$576</definedName>
    <definedName name="_xlnm.Print_Area" localSheetId="7">'5'!$A$1:$O$626</definedName>
    <definedName name="_xlnm.Print_Area" localSheetId="8">'6'!$A$1:$F$91</definedName>
  </definedNames>
  <calcPr fullCalcOnLoad="1"/>
</workbook>
</file>

<file path=xl/sharedStrings.xml><?xml version="1.0" encoding="utf-8"?>
<sst xmlns="http://schemas.openxmlformats.org/spreadsheetml/2006/main" count="2984" uniqueCount="990">
  <si>
    <t>Szakorvosi Rendelőintézet infrasturkturális fejlesztés</t>
  </si>
  <si>
    <t>Jókai utca felújítása</t>
  </si>
  <si>
    <t>Szabad pénzmaradvány: bevételi többlet - bevétel kiesés</t>
  </si>
  <si>
    <t>Költségvetési támogatás összesen VI./1-5.</t>
  </si>
  <si>
    <t>Helyi adók, gépjárműadó</t>
  </si>
  <si>
    <t xml:space="preserve">   I.   IMMATERIÁLIS JAVAK</t>
  </si>
  <si>
    <t xml:space="preserve">         1. Alapítás-átszervezés aktivált értéke</t>
  </si>
  <si>
    <t xml:space="preserve">         2. Kísérleti fejlesztés aktivált értéke</t>
  </si>
  <si>
    <t xml:space="preserve">         3. Vagyoni értékű jogok</t>
  </si>
  <si>
    <t xml:space="preserve">         4. Szellemi termékek</t>
  </si>
  <si>
    <t xml:space="preserve">         5. Immateriális javakra adott előlegek</t>
  </si>
  <si>
    <t xml:space="preserve">         6. Immateriális javak értékhelyesbítése</t>
  </si>
  <si>
    <t xml:space="preserve">   II.  TÁRGYI ESZKÖZÖK</t>
  </si>
  <si>
    <t xml:space="preserve">         1. Ingatlanok és a kapcsolódó vagyoni értékű jogok</t>
  </si>
  <si>
    <t xml:space="preserve">         2. Gépek, berendezések és felszerelések</t>
  </si>
  <si>
    <t xml:space="preserve">         3. Járművek</t>
  </si>
  <si>
    <t xml:space="preserve">         4. Tenyészállatok</t>
  </si>
  <si>
    <t xml:space="preserve">         5. Beruházások, felújítások</t>
  </si>
  <si>
    <t xml:space="preserve">         6. Beruházásra adott előlegek</t>
  </si>
  <si>
    <t xml:space="preserve">         7. Tárgyi eszközök értékhelyesbítése</t>
  </si>
  <si>
    <t xml:space="preserve">   III. BEFEKTETETT PÉNZÜGYI ESZKÖZÖK</t>
  </si>
  <si>
    <t xml:space="preserve">         1. Egyéb tartós részesedés</t>
  </si>
  <si>
    <t xml:space="preserve">         2. Tartós hitelviszonyt megtestesítő értékpapír</t>
  </si>
  <si>
    <t xml:space="preserve">         3. Tartósan adott kölcsön</t>
  </si>
  <si>
    <t xml:space="preserve">         4. Hosszú lejáratú bankbetétek</t>
  </si>
  <si>
    <t xml:space="preserve">         5. Egyéb hosszúlejáratú követelések</t>
  </si>
  <si>
    <t xml:space="preserve">         6. Befektetett pénzügyi eszközök értékhelyesbítése</t>
  </si>
  <si>
    <t xml:space="preserve">         1. Üzemeltetésre, kezelésre átadott eszközök</t>
  </si>
  <si>
    <t xml:space="preserve">         2. Koncesszióba adott eszközök</t>
  </si>
  <si>
    <t>Szüreti Napok</t>
  </si>
  <si>
    <t>CIB Bank</t>
  </si>
  <si>
    <t xml:space="preserve">         3. Vagyonkezelésbe adott eszközök</t>
  </si>
  <si>
    <t xml:space="preserve">         4. Vagyonkezelésbe vett eszközök</t>
  </si>
  <si>
    <t xml:space="preserve">         5. Üzemeltetésre, kezelésre átadott, koncesszióba adott, vagyonkezelésbe vett eszközök értékhelyesbítése</t>
  </si>
  <si>
    <t xml:space="preserve">   I.   KÉSZLETEK</t>
  </si>
  <si>
    <t xml:space="preserve">         1. Anyagok</t>
  </si>
  <si>
    <t xml:space="preserve">         2. Befejezetlen termelés és félkész termékek</t>
  </si>
  <si>
    <t xml:space="preserve">         3. Növendék-, hízó és egyéb állatok</t>
  </si>
  <si>
    <t xml:space="preserve">         4. Késztermékek</t>
  </si>
  <si>
    <t xml:space="preserve">         5. Áruk, betétdíjas göngyölegek, közvetlen szolgáltatások és követelés fejében átvett eszközök, készletek</t>
  </si>
  <si>
    <t xml:space="preserve">   II.  KÖVETELÉSEK</t>
  </si>
  <si>
    <t xml:space="preserve">         1. Követelések áruszállításból, szolgálttaásokból (vevők)</t>
  </si>
  <si>
    <t xml:space="preserve">         2. Adósok</t>
  </si>
  <si>
    <t xml:space="preserve">         3. Rövid lejáratú kölcsönök</t>
  </si>
  <si>
    <t xml:space="preserve">         4. Egyéb követelések</t>
  </si>
  <si>
    <t xml:space="preserve">         Ebből: -tartósan adott kölcsönökből a mérlegfordulónapot követő éven belül esedékes részlet</t>
  </si>
  <si>
    <t xml:space="preserve">                      - egyéb hosszú lejáratú követelésekből a mérlegfordulónapot követő egy éven belül esedékes részletek</t>
  </si>
  <si>
    <t xml:space="preserve">                      - támogatási program előlegek</t>
  </si>
  <si>
    <t xml:space="preserve">                     - támogatási programok szabálytalan kifizetése miatti követelések</t>
  </si>
  <si>
    <t xml:space="preserve">                       - garancia- és kezességvállalásból származó követelések</t>
  </si>
  <si>
    <t xml:space="preserve">   III. ÉRTÉKPAPÍROK</t>
  </si>
  <si>
    <t xml:space="preserve">         1. Egyéb részesedések</t>
  </si>
  <si>
    <t xml:space="preserve">         2. Forgatási célú hitelviszonyt megtestesítő értékpapírok</t>
  </si>
  <si>
    <t xml:space="preserve">   IV. PÉNZESZKÖZÖK</t>
  </si>
  <si>
    <t xml:space="preserve">         1. Pénztárak, csekkek, betétkönyvek</t>
  </si>
  <si>
    <t xml:space="preserve">         2. Költségvetési bankszámlák</t>
  </si>
  <si>
    <t xml:space="preserve">         3. Elszámolási számlák</t>
  </si>
  <si>
    <t xml:space="preserve">         4. Idegen pénzeszközök számlái</t>
  </si>
  <si>
    <t xml:space="preserve">   V.  EGYÉB AKTÍV PÉNZÜGYI ELSZÁMOLÁSOK</t>
  </si>
  <si>
    <t xml:space="preserve">         1. Költségvetési aktív függő elszámolások</t>
  </si>
  <si>
    <t xml:space="preserve">         2. Költségvetési aktív átfutó elszámolások</t>
  </si>
  <si>
    <t xml:space="preserve">         3. Költségvetési aktív kiegyenlítő elszámolások</t>
  </si>
  <si>
    <t xml:space="preserve">         4. Költségvetésen kívüli aktív pénzügyi elszámolások</t>
  </si>
  <si>
    <t xml:space="preserve"> A) TÖRZSVAGYON</t>
  </si>
  <si>
    <t xml:space="preserve">  I.  FORGALOMKÉPTELEN TÖRZSVAGYON</t>
  </si>
  <si>
    <t xml:space="preserve">         -helyi közútak és műtárgyaik, ezek tartozékai</t>
  </si>
  <si>
    <t xml:space="preserve">         - terek, parkok</t>
  </si>
  <si>
    <t xml:space="preserve">         - vizek és vízi közműnek nem minősülő közcélú vízi létesítmény</t>
  </si>
  <si>
    <t xml:space="preserve">         - egyéb forgalomképtelen ingatlanvagyon</t>
  </si>
  <si>
    <t xml:space="preserve">         - levéltári anyagok, tervtárak, terv-, térkép és iratanyag</t>
  </si>
  <si>
    <t xml:space="preserve">         - forgalomképtelen vagyonhoz tartozó ingó és egyéb vagyon</t>
  </si>
  <si>
    <t xml:space="preserve">         - közművek</t>
  </si>
  <si>
    <t xml:space="preserve">         - muzeális gyűjtemény és emlék</t>
  </si>
  <si>
    <t xml:space="preserve">         - sportpályák és sportcélú létesítmények</t>
  </si>
  <si>
    <t xml:space="preserve">         - köztemetők</t>
  </si>
  <si>
    <t xml:space="preserve">         - korlátozottan forgalomképes egyéb ingatlanvagyon (kezelésbe adott)</t>
  </si>
  <si>
    <t xml:space="preserve">         - ingatlanokhoz kapcsolódó korlátozottan forgalomképes vagyoni értékű jogok</t>
  </si>
  <si>
    <t xml:space="preserve">         - az önkormányzat képviselő-testülete által korlátozottan forgalomképesnek minősített befektetett pénzügyi eszközök</t>
  </si>
  <si>
    <t>B) TÖRZSVAGYONON KÍVÜL EGYÉB , FORGALOMKÉPES VAGYON</t>
  </si>
  <si>
    <t>Összes felhalmozási bevételi kiesés</t>
  </si>
  <si>
    <t>Müködés</t>
  </si>
  <si>
    <t>Felhalmozás</t>
  </si>
  <si>
    <t>IV.  Központosított bevételi kiesés:</t>
  </si>
  <si>
    <t xml:space="preserve">   I.  TÖRZSVAGYON KÖRÉBE NEM TARTOZÓ INGATLANOK</t>
  </si>
  <si>
    <t xml:space="preserve">   II.  TÖRZSVAGYON KÖRÉBE NEM TARTOZÓ INGÓ VAGYON</t>
  </si>
  <si>
    <t>(*) A kataszteri nyilvántartás bruttó értékei alapján</t>
  </si>
  <si>
    <t>A KÖNYVVITELI MÉRLEGBEN NEM SZEREPLŐ ESZKÖZÖK ÉS KÖTELEZETTSÉGEK KIEMELT TÉTELEI</t>
  </si>
  <si>
    <t xml:space="preserve">  I.  A "O"-RA LEÍRT DE HASZNÁLATBAN LÉVŐ, ILLETVE HASZNÁLATON KÍVÜLI ESZKÖZÖK ÁLLOMÁNYA</t>
  </si>
  <si>
    <t xml:space="preserve"> III.  A MÉRLEGBEN ÉRTÉKKEL NEM SZEREPLŐ KÖTELEZETTSÉGEK, IDEÉRTVE A KEZESSÉG- ILLETVE GARANCIA VÁLLALÁSSAL KAPCSOLATOS FÜGGŐ KÖTELEZETTSÉGEKET</t>
  </si>
  <si>
    <r>
      <t xml:space="preserve">   IV. ÜZEMELTETÉSRE, </t>
    </r>
    <r>
      <rPr>
        <sz val="7"/>
        <rFont val="Times New Roman CE"/>
        <family val="1"/>
      </rPr>
      <t>KEZELÉSRE ÁTADOTT, KONCESSZIÓBA ADOTT, VAGYONKEZELÉSBE VETT ESZKÖZÖK</t>
    </r>
  </si>
  <si>
    <r>
      <t>VAGYONKIMUTATÁS TAGOLÁSA AZ ÖNKORMÁNYZAT ÁLTAL ELLÁTOTT FELADATOKHOZ VALÓ VISZONYA SZERINT</t>
    </r>
    <r>
      <rPr>
        <b/>
        <sz val="8"/>
        <rFont val="Times New Roman CE"/>
        <family val="1"/>
      </rPr>
      <t xml:space="preserve"> (*)</t>
    </r>
  </si>
  <si>
    <r>
      <t xml:space="preserve">  II.  KORLÁTOZOTTAN FORGALOMKÉPES </t>
    </r>
    <r>
      <rPr>
        <sz val="7"/>
        <rFont val="Times New Roman CE"/>
        <family val="1"/>
      </rPr>
      <t>TÖRZSVAGYON</t>
    </r>
  </si>
  <si>
    <r>
      <t xml:space="preserve">  II.  ÖNKORMÁNYZAT TULAJDONÁBA LÉVŐ, A KÜLÖN JOGSZABÁLY ALAPJÁN A SZAKMAI NYILVÁNTARTÁSBAN SZEREPLŐ ÉRTÉK NÉLKÜL NYILVÁNTARTOTT ESZKÖZÖK ÁLLOMÁNYA </t>
    </r>
    <r>
      <rPr>
        <sz val="7"/>
        <rFont val="Times New Roman CE"/>
        <family val="1"/>
      </rPr>
      <t>(képzőművészeti alkotások, régészeti leletek, kép- és hangarchívumok, gyűjtemények, kulturális javak)</t>
    </r>
  </si>
  <si>
    <t>KIADÁSOK ÖSSZESEN I-III.</t>
  </si>
  <si>
    <t>Ezer Ft - ban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</si>
  <si>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</si>
  <si>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</si>
  <si>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</si>
  <si>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</si>
  <si>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</si>
  <si>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</si>
  <si>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</si>
  <si>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</si>
  <si>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</si>
  <si>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</si>
  <si>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</si>
  <si>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</si>
  <si>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</si>
  <si>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</si>
  <si>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</si>
  <si>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Intézményi működési bevételek</t>
  </si>
  <si>
    <t>2.</t>
  </si>
  <si>
    <t>Önkormányzat saját folyó bevétele</t>
  </si>
  <si>
    <t>3.</t>
  </si>
  <si>
    <t>Helyi adók</t>
  </si>
  <si>
    <t>4.</t>
  </si>
  <si>
    <t>Átengedett központi adók</t>
  </si>
  <si>
    <t>5.</t>
  </si>
  <si>
    <t>Önkormányzat egyéb sajátos bevételei</t>
  </si>
  <si>
    <t>6.</t>
  </si>
  <si>
    <t>Központi kltsgvetésből kapott tám.</t>
  </si>
  <si>
    <t>7.</t>
  </si>
  <si>
    <t>8.</t>
  </si>
  <si>
    <t>Hitelek</t>
  </si>
  <si>
    <t>9.</t>
  </si>
  <si>
    <t>Felhalmozási célú bevételek (+felh. pm)</t>
  </si>
  <si>
    <t>10.</t>
  </si>
  <si>
    <t>11.</t>
  </si>
  <si>
    <t>KIADÁSI ELŐIRÁNYZAT FELHASZNÁLÁS ALAKULÁSA</t>
  </si>
  <si>
    <t>Személyi juttatások</t>
  </si>
  <si>
    <t>Munkaadókat terhelő járulékok</t>
  </si>
  <si>
    <t>Dologi kiadások</t>
  </si>
  <si>
    <t>Felhalmozási célú kiadások</t>
  </si>
  <si>
    <t>Tartalékok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</si>
  <si>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</si>
  <si>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</si>
  <si>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</si>
  <si>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</si>
  <si>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</si>
  <si>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</si>
  <si>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</si>
  <si>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Intézményi bevételek</t>
  </si>
  <si>
    <t>II.</t>
  </si>
  <si>
    <t>Központosított bevételek</t>
  </si>
  <si>
    <t>Polgármesteri Hivatal saját folyó bevétele</t>
  </si>
  <si>
    <t>Önkormányzatok egyéb sajátos bevételei</t>
  </si>
  <si>
    <t>Felhalmozási és tőke jellegű bevételek</t>
  </si>
  <si>
    <t>Központi költségvetésből kapott támogatás</t>
  </si>
  <si>
    <t>Pályázaton nyert támogatások</t>
  </si>
  <si>
    <t>BEVÉTELEK ÖSSZESEN</t>
  </si>
  <si>
    <t>Az önkormányzati költségvetés működési hiánya</t>
  </si>
  <si>
    <t>KIADÁSOK</t>
  </si>
  <si>
    <t>Működési célú kiadások</t>
  </si>
  <si>
    <t>Ellátottak pénzbeli juttatása</t>
  </si>
  <si>
    <t>Speciális célú támogatás</t>
  </si>
  <si>
    <t>Felhalmozási jellegű kiadások</t>
  </si>
  <si>
    <t>Beruházások</t>
  </si>
  <si>
    <t>Felújítások</t>
  </si>
  <si>
    <t>Egyéb felhalmozási jellegű kiadások</t>
  </si>
  <si>
    <t>III.</t>
  </si>
  <si>
    <t>Általános tartalék</t>
  </si>
  <si>
    <t>Céltartalék</t>
  </si>
  <si>
    <t>Központosított bevétel</t>
  </si>
  <si>
    <t>Ezer Ft-ban</t>
  </si>
  <si>
    <t>M E G N E V E Z É S</t>
  </si>
  <si>
    <t xml:space="preserve">B E V É T E L E K </t>
  </si>
  <si>
    <t>A./</t>
  </si>
  <si>
    <t>INTÉZMÉNYI BEVÉTELEK</t>
  </si>
  <si>
    <t>Intézményi alaptevékenység és egyéb tevékenység</t>
  </si>
  <si>
    <t>B./</t>
  </si>
  <si>
    <t>KÖZPONTOSÍTOTT FOLYÓ BEVÉTELEK</t>
  </si>
  <si>
    <t>Önkormányzat saját folyó bevételei</t>
  </si>
  <si>
    <t>Alaptevékenységhez kapcsolódó és hatósági bevételek</t>
  </si>
  <si>
    <t>Bérleti díjak ( közterület, garázs, föld )</t>
  </si>
  <si>
    <t>Helyiség bérleti díjak</t>
  </si>
  <si>
    <t>Helyőrségi Klub bérleti díja</t>
  </si>
  <si>
    <t>Általános forgalmi adó bevételek, visszatérítés</t>
  </si>
  <si>
    <t>Krimpeni ház bérleti díja</t>
  </si>
  <si>
    <t>Továbbszámlázott szolgáltatás bevétele</t>
  </si>
  <si>
    <t>Önkormányzat sajátos folyó bevételei</t>
  </si>
  <si>
    <t>Gépjárműadó</t>
  </si>
  <si>
    <t>Idegenforgalmi adó bevételek</t>
  </si>
  <si>
    <t>Személyi jövedelemadó helyben maradó része</t>
  </si>
  <si>
    <t>Talajterhelési díj</t>
  </si>
  <si>
    <t>Részvények értékesítése, hozama</t>
  </si>
  <si>
    <t>IV.</t>
  </si>
  <si>
    <t>Ápolási díj</t>
  </si>
  <si>
    <t>Rendszeres szociális segély</t>
  </si>
  <si>
    <t>Időskorúak járadéka</t>
  </si>
  <si>
    <t>Lakásfenntartás támogatása</t>
  </si>
  <si>
    <t>Polgári védelmi feladatok ellátása</t>
  </si>
  <si>
    <t>Mezőőri feladatok ellátására támogatás</t>
  </si>
  <si>
    <t>12.</t>
  </si>
  <si>
    <t>V.</t>
  </si>
  <si>
    <t>Volt állami tulajdonban lévő lakásvásárlási kölcsönök és szociális lakástámogatás törlesztéséből származó bevételek</t>
  </si>
  <si>
    <t>13.</t>
  </si>
  <si>
    <t>VI.</t>
  </si>
  <si>
    <t>Költségvetési támogatás</t>
  </si>
  <si>
    <t>Kiegészítő támogatás egyes közoktatási feladatok ellátására</t>
  </si>
  <si>
    <t>VII.</t>
  </si>
  <si>
    <t>Központosított állami támogatások</t>
  </si>
  <si>
    <t>Német Kisebbségi Önkormányzat támogatása</t>
  </si>
  <si>
    <t>Szlovák Kisebbségi Önkormányzat támogatása</t>
  </si>
  <si>
    <t>Cigány Kisebbségi Önkormányzat támogatása</t>
  </si>
  <si>
    <t>VIII.</t>
  </si>
  <si>
    <t>Rövidlejáratú hitel (hiány)</t>
  </si>
  <si>
    <t>X.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</si>
  <si>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</si>
  <si>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</si>
  <si>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</si>
  <si>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</si>
  <si>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</si>
  <si>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</si>
  <si>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</si>
  <si>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</si>
  <si>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</si>
  <si>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</si>
  <si>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</si>
  <si>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 I A DÁ S O K</t>
  </si>
  <si>
    <t>1.32</t>
  </si>
  <si>
    <t>Nemzeti Fejlesztési Ügynökség - DAOP</t>
  </si>
  <si>
    <t>Személyi jellegű kiadások</t>
  </si>
  <si>
    <t>Speciális célú támogatások</t>
  </si>
  <si>
    <t>Központosított beruházások</t>
  </si>
  <si>
    <t>Intézményi beruházások</t>
  </si>
  <si>
    <t>Központosított felújítások</t>
  </si>
  <si>
    <t>Egyéb felhalmozási célú kiadások</t>
  </si>
  <si>
    <t>Lakáscélú szociális támogatás</t>
  </si>
  <si>
    <t>Dolgozóknak nyújtott lakásvásárlási-, lakásépítési kölcsön</t>
  </si>
  <si>
    <t>Városi Sportigazgatóság</t>
  </si>
  <si>
    <t>Petőfi Sándor Városi Könyvtár</t>
  </si>
  <si>
    <t>Céltartalékok</t>
  </si>
  <si>
    <t>ÖNKORMÁNYZATI KIADÁSOK ÖSSZESEN</t>
  </si>
  <si>
    <t>Intézmények saját bevétele</t>
  </si>
  <si>
    <t>Cím,</t>
  </si>
  <si>
    <t>Cím</t>
  </si>
  <si>
    <t>TB finan-</t>
  </si>
  <si>
    <t>Összes</t>
  </si>
  <si>
    <t>szám</t>
  </si>
  <si>
    <t>megnevezése</t>
  </si>
  <si>
    <t>Alap-tevékenység</t>
  </si>
  <si>
    <t>Működési célú</t>
  </si>
  <si>
    <t xml:space="preserve">Felhal-mozási </t>
  </si>
  <si>
    <t>szírozás</t>
  </si>
  <si>
    <t>bevétel</t>
  </si>
  <si>
    <t>bevétele</t>
  </si>
  <si>
    <t>bevételek</t>
  </si>
  <si>
    <t>célú bevételek</t>
  </si>
  <si>
    <t>Petőfi Szülőház és Emlékmúzeum</t>
  </si>
  <si>
    <t>Hivatásos Önkormányzati Tűzoltóság</t>
  </si>
  <si>
    <t>Cím ,</t>
  </si>
  <si>
    <t>Személyi</t>
  </si>
  <si>
    <t>Munkaadót</t>
  </si>
  <si>
    <t>Dologi</t>
  </si>
  <si>
    <t>Ellátottak</t>
  </si>
  <si>
    <t>Beruházá-</t>
  </si>
  <si>
    <t>Egyéb felhalm.</t>
  </si>
  <si>
    <t>Létszám-</t>
  </si>
  <si>
    <t>Alcím</t>
  </si>
  <si>
    <t xml:space="preserve">             alcím megnevezése</t>
  </si>
  <si>
    <t>jellegű</t>
  </si>
  <si>
    <t xml:space="preserve">terhelő </t>
  </si>
  <si>
    <t>kiadások</t>
  </si>
  <si>
    <t>pénzbeli</t>
  </si>
  <si>
    <t>célú kiadások</t>
  </si>
  <si>
    <t>sok, felújí-</t>
  </si>
  <si>
    <t>keret</t>
  </si>
  <si>
    <t>Szám</t>
  </si>
  <si>
    <t>járulékok</t>
  </si>
  <si>
    <t>juttatása</t>
  </si>
  <si>
    <t>tások</t>
  </si>
  <si>
    <t>támogatása</t>
  </si>
  <si>
    <t>Kisegítő mezőgazdasági szolgáltatás</t>
  </si>
  <si>
    <t>Helyi közutak  létesítése és felújítása</t>
  </si>
  <si>
    <t>Helyi közutak létesítése és felújítása</t>
  </si>
  <si>
    <t>Helyi közutak  üzemeltetése, fenntartása</t>
  </si>
  <si>
    <t>Helyi közutak karbantartása</t>
  </si>
  <si>
    <t xml:space="preserve">Buszváró üzemeltetése, fenntartása </t>
  </si>
  <si>
    <t>Saját vagy bérelt ingatlan hasznosítása</t>
  </si>
  <si>
    <t>Önkormányzati igazgatási tevékenység</t>
  </si>
  <si>
    <t>Kiskőrösi Többcélú Kistérségi Társulás működésének támogatása</t>
  </si>
  <si>
    <t xml:space="preserve">         </t>
  </si>
  <si>
    <t>Testületi feladatok ellátása</t>
  </si>
  <si>
    <t>Önkéntes Tűzoltóság működtetése</t>
  </si>
  <si>
    <t>Polgári védelmi tevékenység</t>
  </si>
  <si>
    <t>Költségvetési tartalékok</t>
  </si>
  <si>
    <t>Belvíz elvezetés</t>
  </si>
  <si>
    <t>25.</t>
  </si>
  <si>
    <t>Város -és községgazdálkodási szolgáltatás</t>
  </si>
  <si>
    <t>26.</t>
  </si>
  <si>
    <t>Települési vízellátás és vízminőségvédelem</t>
  </si>
  <si>
    <t>27.</t>
  </si>
  <si>
    <t>Közvilágítás</t>
  </si>
  <si>
    <t>28.</t>
  </si>
  <si>
    <t>Oktatást kiegészítő egyéb tevékenység</t>
  </si>
  <si>
    <t xml:space="preserve"> Szociálisan rászoruló gyerekek továbbtanulásának támogatása (Bursa )</t>
  </si>
  <si>
    <t>Egyéb szociális és egészségügyi feladatok</t>
  </si>
  <si>
    <t>Állategészségügyi tevékenység</t>
  </si>
  <si>
    <t>Rendszeres pénzbeli ellátások</t>
  </si>
  <si>
    <t>Eseti pénzbeni ellátások</t>
  </si>
  <si>
    <t>Szennyvízelvezetés- és kezelés</t>
  </si>
  <si>
    <t>Települési hulladékok kezelése, egyéb köztisztasági tevékenység</t>
  </si>
  <si>
    <t>Egyéb szórakoztatási és közművelődési és sport tevékenység</t>
  </si>
  <si>
    <t>Temetkezés és ehhez kapcsolódó szolgáltatás</t>
  </si>
  <si>
    <t>Fürdő - és strandszolgáltatás</t>
  </si>
  <si>
    <t>Német Kisebbségi Önkormányzat</t>
  </si>
  <si>
    <t>Szlovák Kisebbségi Önkormányzat</t>
  </si>
  <si>
    <t>Cigány Kisebbségi Önkormányzat</t>
  </si>
  <si>
    <t>e Ft-ban</t>
  </si>
  <si>
    <t>A.</t>
  </si>
  <si>
    <t>Központosított</t>
  </si>
  <si>
    <t>B.</t>
  </si>
  <si>
    <t>Intézményi</t>
  </si>
  <si>
    <t>Egyéb felhalmozás jellegű kiadások</t>
  </si>
  <si>
    <t xml:space="preserve"> </t>
  </si>
  <si>
    <t>ezer Ft-ban</t>
  </si>
  <si>
    <t>Sor-szám</t>
  </si>
  <si>
    <t>Feladat</t>
  </si>
  <si>
    <t>Az átcsoportosítás jogát gyakorolja</t>
  </si>
  <si>
    <t>Tartalék - kötvénykibocsátás - óvadéki betét</t>
  </si>
  <si>
    <t>Intézményi kötött pénzmaradvány (1-7. sorok) kiadási megtakarításból</t>
  </si>
  <si>
    <t>Polgármesteri céltartalék felhasználás</t>
  </si>
  <si>
    <t>Rendkívüli javítások, felújítások, tárgyi eszközök halaszthatatlan pótlásának fedezetére</t>
  </si>
  <si>
    <t>Polgármester</t>
  </si>
  <si>
    <t>Önkormányzati rendezvények, külkapcsolatok, városi kiadványokköltségeinek fedezetére</t>
  </si>
  <si>
    <t>Ügyrendi és Összeférhetetlenségi Bizottság</t>
  </si>
  <si>
    <t>Kulturális, oktatási tevékenységek, programok, pályázatok, valamint 1/2003 (I. 24.) önk. sportrendelet 8.§ (7) bekezdésében meghatározottak kiegészítő támogatására</t>
  </si>
  <si>
    <t>Művelődési, Közoktatási és Sport Bizottság</t>
  </si>
  <si>
    <t>Mezőgazdasági, környezetvédelmi és idegenforgalmi feladatok ellátásának támogatására</t>
  </si>
  <si>
    <t>Összesen:</t>
  </si>
  <si>
    <t>Fejlesztési célra átvett pénzeszközök</t>
  </si>
  <si>
    <t>Támogatásértékű bevételek</t>
  </si>
  <si>
    <t>Rendszeres gyermekvédelmi kedvezmény</t>
  </si>
  <si>
    <t>Kiegészítő gyermekvédelmi támogatás</t>
  </si>
  <si>
    <t>Támogatásértékű kiadások</t>
  </si>
  <si>
    <t>Támogatás- értékű kiadások</t>
  </si>
  <si>
    <t xml:space="preserve">Ellátottak pénzbeli juttatása </t>
  </si>
  <si>
    <t>Társ., szoc.pol. és egyéb juttatás/tám.</t>
  </si>
  <si>
    <t>Társadalom-, szociálpolitikai és egyéb juttatás, támogatás</t>
  </si>
  <si>
    <t>Társ.szoc. pol. és egyéb juttatás/tám</t>
  </si>
  <si>
    <t>Támogatásértékű működési bevételek</t>
  </si>
  <si>
    <t>Véglegesen átvett pénzeszközök</t>
  </si>
  <si>
    <t>Fejlesztési célú hitel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</si>
  <si>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</si>
  <si>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</si>
  <si>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</si>
  <si>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</si>
  <si>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</si>
  <si>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</si>
  <si>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</si>
  <si>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</si>
  <si>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</si>
  <si>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</si>
  <si>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</si>
  <si>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</si>
  <si>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Sikeres Magyarországért Panel Plusz Hitelprogram</t>
  </si>
  <si>
    <t>Humán Szolgáltató Központ</t>
  </si>
  <si>
    <t>Városi Alapfokú Művészetoktatási Intézmény</t>
  </si>
  <si>
    <t>Parkfenntartás, parképítés</t>
  </si>
  <si>
    <t>Önkormányzati vagyon és épületek hasznosításával kapcsolatos    kiadások</t>
  </si>
  <si>
    <t>Krimpeni Ház működési költsége</t>
  </si>
  <si>
    <t>Működésképtelen helyi önkormányzatok egyéb támogatása</t>
  </si>
  <si>
    <t>Helyőrségi Klub működési költsége</t>
  </si>
  <si>
    <t xml:space="preserve">Értékesítéshez  kapcsolódó általános forgalmi adó kiadások </t>
  </si>
  <si>
    <t>Nyilvános WC üzemeltetése</t>
  </si>
  <si>
    <t>Hivatali igazgatási feladatok ellátása</t>
  </si>
  <si>
    <t>Közterület-felügyelők</t>
  </si>
  <si>
    <t>Építésrendészeti feladatok</t>
  </si>
  <si>
    <t>Nyugdíjas köztisztviselők juttatásai</t>
  </si>
  <si>
    <t>Terményvédelem, bűnmegelőzés</t>
  </si>
  <si>
    <t>Építési tilalom alatt álló ingatlan kártalanítása</t>
  </si>
  <si>
    <t>Védett épületek felújításának támogatása</t>
  </si>
  <si>
    <t xml:space="preserve"> Városi Polgárőrség Bűnmegelőzési és Önvéd. Egy. tám.</t>
  </si>
  <si>
    <t>Vízellátás, vízminőségvédelem</t>
  </si>
  <si>
    <t>Dél-Alföldi ivóvízjavítási program</t>
  </si>
  <si>
    <t>Sebességmérő beszerzése - TEKI</t>
  </si>
  <si>
    <t>"Út a munkához program" - CÉDE</t>
  </si>
  <si>
    <t>Záró pénzkészlet                       D</t>
  </si>
  <si>
    <t>Előző években képzett tartalék E</t>
  </si>
  <si>
    <t>Korrekciók                                F</t>
  </si>
  <si>
    <t>Korrigált                         G=D-E+F</t>
  </si>
  <si>
    <t>ÁNTSZ ártézi kút vizsgálata</t>
  </si>
  <si>
    <t>Közvilágítási feladatok</t>
  </si>
  <si>
    <t>Oktatási célok és egyéb feladatok</t>
  </si>
  <si>
    <t>Kábítószer fogyasztás elleni védekezés támogatása</t>
  </si>
  <si>
    <t xml:space="preserve">Kiskőrös Városért Alapítvány működésének támogatása </t>
  </si>
  <si>
    <t xml:space="preserve">PPP projekt Térségi uszoda </t>
  </si>
  <si>
    <t>PPP projekt Petőfi Sándor Általános Iskola tornaterem</t>
  </si>
  <si>
    <t>Evangélikus Egyház szociális tevékenységének támogatása</t>
  </si>
  <si>
    <t>Többcélú Kistérségi Társulás bentlakásos intézmény támogatása</t>
  </si>
  <si>
    <t>Lakásfenntartási támogatás</t>
  </si>
  <si>
    <t>Rendszeres szociális segély (felnőttek)</t>
  </si>
  <si>
    <t>Lakbértámogatás</t>
  </si>
  <si>
    <t>Tartásdíj támogatása</t>
  </si>
  <si>
    <t>Átmeneti segély (felnőttek eseti segélyezése)</t>
  </si>
  <si>
    <t>Közgyógy-ellátás</t>
  </si>
  <si>
    <r>
      <t xml:space="preserve">INTÉZMÉNYEK ÖSSZESEN </t>
    </r>
    <r>
      <rPr>
        <sz val="8"/>
        <rFont val="Times New Roman"/>
        <family val="1"/>
      </rPr>
      <t>( 1-7 sorok )</t>
    </r>
  </si>
  <si>
    <t>Rendkívüli gyermekvédelmi támogatás</t>
  </si>
  <si>
    <r>
      <t>Kötvénykibocsátás fejlesztések, beruházások finanszírozása</t>
    </r>
    <r>
      <rPr>
        <sz val="9"/>
        <rFont val="Arial"/>
        <family val="2"/>
      </rPr>
      <t>*</t>
    </r>
  </si>
  <si>
    <t xml:space="preserve"> - ebből: intézményi munkáltatói kölcsön</t>
  </si>
  <si>
    <t>Köztemetés</t>
  </si>
  <si>
    <t>Kiegészítő gyermekvédelmi  támogatás</t>
  </si>
  <si>
    <t>Sikeres Magyarországért Panel Plusz  Hitelprogram</t>
  </si>
  <si>
    <t>Temetési segély</t>
  </si>
  <si>
    <t>Mozgáskorlátozottak támogatása</t>
  </si>
  <si>
    <t>Otthonteremtési támogatás</t>
  </si>
  <si>
    <t>Lakosság támogatása szennyvízcsatorna építésére ( LTP ) VI.</t>
  </si>
  <si>
    <t>Települési hulladékok szállítása</t>
  </si>
  <si>
    <t>Egyéb köztisztasági tevékenység</t>
  </si>
  <si>
    <t xml:space="preserve">Regionális hulladéklerakó </t>
  </si>
  <si>
    <t>Petőfi Sándor Társaság támogatása</t>
  </si>
  <si>
    <t>KisKőrös TV</t>
  </si>
  <si>
    <t>Sajtó kiadványok, PR</t>
  </si>
  <si>
    <t>Kiskőrösi labdarugó klub támogatása</t>
  </si>
  <si>
    <t>Labdarúgó utánpótlás- FOCISULI</t>
  </si>
  <si>
    <t>Cselgáncs sportcélok támogatása</t>
  </si>
  <si>
    <t>Birkózás sportcélok támogatása</t>
  </si>
  <si>
    <t>Szüreti Napok megrendezése</t>
  </si>
  <si>
    <t>Városi rendezvények</t>
  </si>
  <si>
    <t>Testvérvárosi kapcsolatok</t>
  </si>
  <si>
    <t>Közművelődési megállapodás alapján végzett szolgáltatás</t>
  </si>
  <si>
    <t>Keresztény Ifjúsági Egyesület támogatása</t>
  </si>
  <si>
    <t>KŐRÖSVÍZ Kft - nek pénzeszköz átadás</t>
  </si>
  <si>
    <t>Társadalombiztosítás finanszírozása</t>
  </si>
  <si>
    <t>Intézményi pénzmaradvány</t>
  </si>
  <si>
    <t>Buszváró lakás bérleti díja</t>
  </si>
  <si>
    <t>1.13</t>
  </si>
  <si>
    <t>1.14</t>
  </si>
  <si>
    <t>Otthonteremtő támogatás</t>
  </si>
  <si>
    <t>Központosított egyéb felhalmozási célú kiadások</t>
  </si>
  <si>
    <t>Pénzmaradvány</t>
  </si>
  <si>
    <t>Polgármesteri Hivatal eszköz, szoftverbeszerzés önerő</t>
  </si>
  <si>
    <t>Költségvetési, Városfejlesztési és Mezőgazdasági Bizottság</t>
  </si>
  <si>
    <t>Hegyközség támogatása</t>
  </si>
  <si>
    <t>- eredeti előirányzat</t>
  </si>
  <si>
    <t>- módosított előirányzat</t>
  </si>
  <si>
    <t>- teljesítés</t>
  </si>
  <si>
    <t>Polgármesteri Hivatal működésének átvilágítása - ÁROP-1.A.2/2008.</t>
  </si>
  <si>
    <t xml:space="preserve">2. PROJEKT MEGNEVEZÉSE: </t>
  </si>
  <si>
    <t>A Kiskőrösi Bölcsőde fejlesztése DAOP-4.1.3/C.D.</t>
  </si>
  <si>
    <t>Kiskőrös Járóbeteg szakellátó Központ fejlesztése, korszerűsítése DAOP-2009-4.1.1.B</t>
  </si>
  <si>
    <t>Szennyvízcsatorna-hálózat VII-VIII. ütemének kiépítése (előkészítés)</t>
  </si>
  <si>
    <t>Polgármesteri Hivatal komplex akadálymentesítése - DAOP-2007-4.1.1</t>
  </si>
  <si>
    <t>Városi Könyvtár infrastruktúrális fejlesztése-TIOP-1.2.3/08/01</t>
  </si>
  <si>
    <t xml:space="preserve">Petőfi Sándor Művelődési Központ infrastrukturális fejlesztése-DAOP-2009-4.1.3/C </t>
  </si>
  <si>
    <t xml:space="preserve">Kiskőrös Város önkormányzati tulajdonú belterületi közútjainak fejlesztése- DAOP-2009-3.1.1/B </t>
  </si>
  <si>
    <t xml:space="preserve">Kistérségi székhelyek integrált fejlesztése-DAOP-5.1.2./A </t>
  </si>
  <si>
    <r>
      <t>1. PROJEKT MEGNEVEZÉSE</t>
    </r>
    <r>
      <rPr>
        <b/>
        <u val="single"/>
        <sz val="9"/>
        <rFont val="Tahoma"/>
        <family val="2"/>
      </rPr>
      <t xml:space="preserve">: </t>
    </r>
  </si>
  <si>
    <r>
      <t>3. PROJEKT MEGNEVEZÉSE</t>
    </r>
    <r>
      <rPr>
        <b/>
        <u val="single"/>
        <sz val="9"/>
        <rFont val="Tahoma"/>
        <family val="2"/>
      </rPr>
      <t xml:space="preserve">: </t>
    </r>
  </si>
  <si>
    <r>
      <t>4. PROJEKT MEGNEVEZÉSE</t>
    </r>
    <r>
      <rPr>
        <b/>
        <u val="single"/>
        <sz val="9"/>
        <rFont val="Tahoma"/>
        <family val="2"/>
      </rPr>
      <t xml:space="preserve">: </t>
    </r>
  </si>
  <si>
    <r>
      <t>5. PROJEKT MEGNEVEZÉSE</t>
    </r>
    <r>
      <rPr>
        <b/>
        <u val="single"/>
        <sz val="9"/>
        <rFont val="Tahoma"/>
        <family val="2"/>
      </rPr>
      <t xml:space="preserve">: </t>
    </r>
  </si>
  <si>
    <r>
      <t>6. PROJEKT MEGNEVEZÉSE</t>
    </r>
    <r>
      <rPr>
        <b/>
        <u val="single"/>
        <sz val="9"/>
        <rFont val="Tahoma"/>
        <family val="2"/>
      </rPr>
      <t xml:space="preserve">: </t>
    </r>
  </si>
  <si>
    <r>
      <t>7. PROJEKT MEGNEVEZÉSE</t>
    </r>
    <r>
      <rPr>
        <b/>
        <u val="single"/>
        <sz val="9"/>
        <rFont val="Tahoma"/>
        <family val="2"/>
      </rPr>
      <t xml:space="preserve">: </t>
    </r>
  </si>
  <si>
    <r>
      <t>8. PROJEKT MEGNEVEZÉSE</t>
    </r>
    <r>
      <rPr>
        <b/>
        <u val="single"/>
        <sz val="9"/>
        <rFont val="Tahoma"/>
        <family val="2"/>
      </rPr>
      <t xml:space="preserve">: </t>
    </r>
  </si>
  <si>
    <r>
      <t>9. PROJEKT MEGNEVEZÉSE</t>
    </r>
    <r>
      <rPr>
        <b/>
        <u val="single"/>
        <sz val="9"/>
        <rFont val="Tahoma"/>
        <family val="2"/>
      </rPr>
      <t xml:space="preserve">: </t>
    </r>
  </si>
  <si>
    <t>I.     Központosított kötött pénzmaradvány ( 8.-34. sorok) és előző évben képzett tartalék maradványa</t>
  </si>
  <si>
    <t>Összes kötött pénzmaradvány és előző évben képzett tartalék maradványa</t>
  </si>
  <si>
    <t>Kiskőrösi Többcélú Kistérségi Társulás háziorvosi ügyelet működtetési támogatás</t>
  </si>
  <si>
    <t>Művelődési Ház, Könyvtár hitelfelvétel kamatfizetés</t>
  </si>
  <si>
    <t>Három város borversenye</t>
  </si>
  <si>
    <t>Előző évi pénzmaradvány</t>
  </si>
  <si>
    <t>IX.</t>
  </si>
  <si>
    <t>Központosított pénzmaradvány</t>
  </si>
  <si>
    <t>1.15</t>
  </si>
  <si>
    <t>1.16</t>
  </si>
  <si>
    <t>1.17</t>
  </si>
  <si>
    <t>1.18</t>
  </si>
  <si>
    <t>Művelődési Ház, Könyvtár fejlesztési célú hitelfelvétel kamattámogatása</t>
  </si>
  <si>
    <t>1.19</t>
  </si>
  <si>
    <t>Eredeti előirányzat</t>
  </si>
  <si>
    <t>Módosított előirányzat</t>
  </si>
  <si>
    <t>Teljesítés</t>
  </si>
  <si>
    <t>Működési célú kiadások összesen</t>
  </si>
  <si>
    <t>Felhalmozási jellegű kiadások összesen</t>
  </si>
  <si>
    <t>Egyéb felhalmozási célú kiadások összesen</t>
  </si>
  <si>
    <t>Tartalékok összesen</t>
  </si>
  <si>
    <t>Kiadások összesen</t>
  </si>
  <si>
    <t xml:space="preserve">Kiadások összesen </t>
  </si>
  <si>
    <t>1.20</t>
  </si>
  <si>
    <t>Bevételek összesen</t>
  </si>
  <si>
    <t xml:space="preserve">Bevételek összesen </t>
  </si>
  <si>
    <t>Működési célú kiadások összesen I./1-6.</t>
  </si>
  <si>
    <t>Felhalmozási jellegű kiadások összesen II./1-3.</t>
  </si>
  <si>
    <t>Tartalékok összesen III./1-2.</t>
  </si>
  <si>
    <t>Intézményi bevételek összesen A./1-3.</t>
  </si>
  <si>
    <t>Hitelek összesen VIII./1-2.</t>
  </si>
  <si>
    <t>ÖNKORMÁNYZATI BEVÉTELEK ÖSSZESEN A-B.</t>
  </si>
  <si>
    <t>INTÉZMÉNYEK ÖSSZESEN              ( 1 - 12 sorok )</t>
  </si>
  <si>
    <t>Felhalmo-zási</t>
  </si>
  <si>
    <t>Egészségügyi Szolgálat</t>
  </si>
  <si>
    <t>Lakbérbevételek</t>
  </si>
  <si>
    <t>Iparűzési adó</t>
  </si>
  <si>
    <t>Magánszemélyek kommunális adója</t>
  </si>
  <si>
    <t>Jövedelemkülönbség mérséklése</t>
  </si>
  <si>
    <t>Környezetvédelmi bírság</t>
  </si>
  <si>
    <t>Önkormányzati értékesített bérlakások fizetési részletei</t>
  </si>
  <si>
    <t>Építésügyi bírság</t>
  </si>
  <si>
    <t>Termőföld bérbeadásából származó jövedelem adó</t>
  </si>
  <si>
    <t>Épületek, építmények értékesítése (parókia)</t>
  </si>
  <si>
    <t>Alapfokú Művészetoktatás telephelyei általi befizetések</t>
  </si>
  <si>
    <t>Gondozási szükséglet vizsgálata házi segítségnyújtásnál</t>
  </si>
  <si>
    <t>ÖTM szolgáltatási díj hozzájárulás - PPP tanuszoda</t>
  </si>
  <si>
    <t>ÖTM szolgáltatási díj hozzájárulás - PPP tornaterem</t>
  </si>
  <si>
    <t>Támogatásértékű bevételek összesen</t>
  </si>
  <si>
    <t>Dolgozóknak, itézményi dolgozóknak nyújtott lakásvásárlási, lakásépítési kölcsön visszatérítése</t>
  </si>
  <si>
    <t xml:space="preserve">Véglegesen átvett pénzeszközök összesen </t>
  </si>
  <si>
    <t>Lakossághoz és feladatmutatóhoz kötött normatív hozzájárulás</t>
  </si>
  <si>
    <t>Helyi önkormányzati hivatásos tűzoltóságok támogatása</t>
  </si>
  <si>
    <t xml:space="preserve">Kiegészítő támogatás egyes szociális feladatokhoz </t>
  </si>
  <si>
    <t>Kiskőrös, Soltvadkert, Kecel és Izsák Városok könyvtári szolgáltatásainak összehangolt infrastruktúra fejlesztése</t>
  </si>
  <si>
    <t>Kiskőrösi Mentő Alapítvány támogatása</t>
  </si>
  <si>
    <t>Ügyeleti díjak, késedelmi kamat, részperköltség</t>
  </si>
  <si>
    <t>Rendelkezésre állási támogatás</t>
  </si>
  <si>
    <t>Óvodáztatási támogatás</t>
  </si>
  <si>
    <t>Szennyvíztelep felújítása</t>
  </si>
  <si>
    <t>Szeméttelep dózerolása</t>
  </si>
  <si>
    <t>Regionális Szilárdhulladék Kezelési Konzorcium 2009. évi tagdíj</t>
  </si>
  <si>
    <t>Férfi kézilabda sportcélok támogatása</t>
  </si>
  <si>
    <t>Kiskőrös Ifjúságáért Egyesület</t>
  </si>
  <si>
    <t>Duna Borrégió Borút Egyesület pályázatához önerő</t>
  </si>
  <si>
    <t>Tourinform Iroda</t>
  </si>
  <si>
    <t>Női kézilabda sportcélok támogatása</t>
  </si>
  <si>
    <t>Három város jelkép</t>
  </si>
  <si>
    <t>Petőfi Szülőház és Emlékmúzeum szoborposztamense</t>
  </si>
  <si>
    <t>2009. évi eredeti előirányzat</t>
  </si>
  <si>
    <t>2009. évi módosított előirányzat</t>
  </si>
  <si>
    <t>Indokolt létszámcsökkentés végrehajtása érdekében felmerülő végkielégítés, egyéb nem tervezett rendkívüli személyi juttatás fedezetére, munkaügyi vitákhoz kapcsolódó fizetési kötelezettségekhez</t>
  </si>
  <si>
    <t>Más forrásból nem finanszírozható városi feladatok ellátásának fedezetére,                                                                                 KTKT működési kiadásaihoz tartalék</t>
  </si>
  <si>
    <t>Polgármesteri hivatalban számítógépek beszerzése</t>
  </si>
  <si>
    <t>Béke-Petőfi út körforgalom területvásárlás</t>
  </si>
  <si>
    <t>Sportcsarnokkal kapcsolatos kiadások</t>
  </si>
  <si>
    <t>Polgármesteri Hivatal komplex akadálymentesítése - DAOP-4.3.1-2007.</t>
  </si>
  <si>
    <t>Pályázatokhoz önerő</t>
  </si>
  <si>
    <t>Művelődési Ház infrastrukturális fejlesztés - DAOP - 4.3.1/C-2009.</t>
  </si>
  <si>
    <t>Polgármesteri Hivatal kazáncsere</t>
  </si>
  <si>
    <t>Bajtárs utcai telkek csapadékelvezető csatorna kiépítés</t>
  </si>
  <si>
    <t>Kossuth L. u. útrekonstrukcióhoz MÁV előtti terület megvásárlása</t>
  </si>
  <si>
    <t>Kelemen sor útépítés - terület megvásárlása</t>
  </si>
  <si>
    <t>Csapadékcsatorna  fennmaradási engedély I-II-III-IV. ütem</t>
  </si>
  <si>
    <t>Bölcsőde infrastruktúrális fejlesztése- DAOP-4.3.1/C-2008.</t>
  </si>
  <si>
    <t>Hivatásos Tűzoltóság gépjárműfecskendő beszerzése önerő</t>
  </si>
  <si>
    <t xml:space="preserve">Belterületi csapadék-és belvízelvezetés DAOP-5.2.1/A-2007. </t>
  </si>
  <si>
    <t>"Út a munkához" programhoz eszközbeszerzés - DARFT-CÉDE-2009.</t>
  </si>
  <si>
    <t>Művelődési Ház füstelvezetés, elektromos javítás</t>
  </si>
  <si>
    <t>Budai Nagy Antal utca járdaépítés TEKI 2009. - önerő</t>
  </si>
  <si>
    <t xml:space="preserve">Sebességmérő beszerzése DARFT-TEKI 2009. </t>
  </si>
  <si>
    <t>Művelődési Központ - fénymásoló beszerzése</t>
  </si>
  <si>
    <t>Vadvirág utca kialakítása</t>
  </si>
  <si>
    <t>Alapfokú művészetoktatás fejlesztése</t>
  </si>
  <si>
    <t>PPP uszoda - mérőhely létesítése</t>
  </si>
  <si>
    <t>Egészségügyi Szolgálat - pénzügyi lízing</t>
  </si>
  <si>
    <t>Hivatásos Tűzoltóság 6db gumiköpeny vásárlás</t>
  </si>
  <si>
    <t>Petőfi Szülőház és Emlékmúzeum - "A mi házunk" program: udvari sütőkemence készítése és nyitott favázas szín átépítése</t>
  </si>
  <si>
    <t>Petőfi Szülőház és Emlékmúzeum - "A mi programunk" pályázat: projektor és digitális fényképezőgép beszerzéséhez</t>
  </si>
  <si>
    <t>VAMI - Kecel - fúvós hangszer vásárlás</t>
  </si>
  <si>
    <t>Vendégváró Tájházak - OKM pályázat</t>
  </si>
  <si>
    <t xml:space="preserve">Tűzoltóság -  telefonhálózat </t>
  </si>
  <si>
    <t>VAMI - Soltvadkert - harangjáték vásárlás</t>
  </si>
  <si>
    <t>Petőfi Sándor Városi Könyvtár - számítástechnikai eszközök</t>
  </si>
  <si>
    <t>Polgármesteri hivatal földszinti területeinek festése, mázolása</t>
  </si>
  <si>
    <t>Polgármesteri Hivatal földszinti mosdófelújítása DARFT-TEKI 2008.</t>
  </si>
  <si>
    <t>Piaccsarnok - tejesasztalok felújítása</t>
  </si>
  <si>
    <t>Petőfi tér 3. sz. alatti ingatlan homlokzat felújítása</t>
  </si>
  <si>
    <t xml:space="preserve">Jókai utca (Soós-Rákóczi közötti szakasz) felújítása Darft-TEUT 2008. </t>
  </si>
  <si>
    <t xml:space="preserve">Járdafelújítás (Rákóczi:Tomori-Jókai közötti szakasza, Tomori u.) Darft-TEKI 2008. </t>
  </si>
  <si>
    <t>Liget utca felújítása TEUT 2009. - önerő</t>
  </si>
  <si>
    <t>Önkormányzati tulajdonú belterületi utak feljesztése - DAOP-2009-3.1.1/B</t>
  </si>
  <si>
    <t>Művelődési ház hitelfelvétel törlesztése</t>
  </si>
  <si>
    <t>VI. szennyvízközmű LTP visszafizetés</t>
  </si>
  <si>
    <t>KTKT Petőfi Iskola infrastrukturális fejlesztés</t>
  </si>
  <si>
    <t>Hivatásos Tűzoltóság - eszközfejlesztés önerő (10 db védőruha)</t>
  </si>
  <si>
    <t>Közösségi közlekedés fejlesztése - DAOP-2009-3.2.1/A</t>
  </si>
  <si>
    <t>Kötvény kamatbevétele</t>
  </si>
  <si>
    <t>Ingatlan egyházi tulajdonba adása miatti kártalanítás</t>
  </si>
  <si>
    <t>Ingatlan értékesítése</t>
  </si>
  <si>
    <t>Járműértékesítés</t>
  </si>
  <si>
    <t>Képtár értékesítés 2009. évi részlet</t>
  </si>
  <si>
    <t>1.2.1</t>
  </si>
  <si>
    <t>1.2.2</t>
  </si>
  <si>
    <t>Aktív korúak ellátása (rendelkezésre állási támogatás)</t>
  </si>
  <si>
    <t>Aktív korúak ellátása (rendszeres szociáli segély)</t>
  </si>
  <si>
    <t>Kecel-polgárőrség pályázat visszafizetése</t>
  </si>
  <si>
    <t>1.31</t>
  </si>
  <si>
    <t>BKKM-i Közgyűlés támogatása</t>
  </si>
  <si>
    <t>Országos Széchényi Könyvtár támogatása</t>
  </si>
  <si>
    <t>Szavazási és választási előleg</t>
  </si>
  <si>
    <t>Tártkapus létesítmények program</t>
  </si>
  <si>
    <t>2008. évi költségvetési támogatással kapcsolatos elszámolás</t>
  </si>
  <si>
    <t>Munkaügyi központ - közfoglalkoztatás</t>
  </si>
  <si>
    <t>2009. évi keresetkiegészítés támogatása</t>
  </si>
  <si>
    <t>Szervezetfejlesztés</t>
  </si>
  <si>
    <t>Vadvirág utca kialakításához lakossági hozzájárulás</t>
  </si>
  <si>
    <t>Működési célra átvett pénzeszközök</t>
  </si>
  <si>
    <t>EU támogatás - Szüreti Napok</t>
  </si>
  <si>
    <t>2.3</t>
  </si>
  <si>
    <t>2.4</t>
  </si>
  <si>
    <t>2006. évi EU támogatás</t>
  </si>
  <si>
    <t>2007. évi EU támogatás</t>
  </si>
  <si>
    <t>2008. évi EU támogatás</t>
  </si>
  <si>
    <t>Közcélú foglalkoztatás</t>
  </si>
  <si>
    <t>Könyvtári érdekeltségnövelő támogatás</t>
  </si>
  <si>
    <t>Hitel (2008. évi működési hiány)</t>
  </si>
  <si>
    <t>XII</t>
  </si>
  <si>
    <t>XI</t>
  </si>
  <si>
    <t>Kölcsönök visszatérülése</t>
  </si>
  <si>
    <t>Központosított bevételek összesen B./I-XII.</t>
  </si>
  <si>
    <t>Kiskőrös Város Polgármesteri Hivatal földszinti mosdó és WC átalakítása Dírft-CÉDE</t>
  </si>
  <si>
    <t>Kiskőrös Város területén járdafelújítás - TEKI</t>
  </si>
  <si>
    <t>Működésképtelen önkormányzatok támogatása</t>
  </si>
  <si>
    <t>Központosított bevételek összesen ( II./1-11.)</t>
  </si>
  <si>
    <t>Hitel (2008. évi működési hiány finanszírozása)</t>
  </si>
  <si>
    <t>Önkormányzat saját folyó bevételei összesen I./1-11.</t>
  </si>
  <si>
    <t>Felhalmozási és tőke jellegű bevételek összesen III./1-8.</t>
  </si>
  <si>
    <t>Német Kisebbségi Önk. támogatása</t>
  </si>
  <si>
    <t>Kamatbevétel</t>
  </si>
  <si>
    <t>Önkormányzati támogatás</t>
  </si>
  <si>
    <t>2009. évi teljesített előirányzat</t>
  </si>
  <si>
    <t>2014.</t>
  </si>
  <si>
    <t>2009. teljesített előirányzat</t>
  </si>
  <si>
    <t>2009. évben a bevételi előirányzatok között  rövid lejáratú hitel (működési hiány)</t>
  </si>
  <si>
    <t xml:space="preserve">2006-ban kötött 17.601 eFt összegű fejlesztési célú hitel  visszafizetési határideje 2026. és törlesztése 2008-ban kezdődött. (tőketörlesztés)                                                                        </t>
  </si>
  <si>
    <t>1.21.</t>
  </si>
  <si>
    <t>1.22</t>
  </si>
  <si>
    <t>1.23</t>
  </si>
  <si>
    <t>5.1</t>
  </si>
  <si>
    <t>5.2</t>
  </si>
  <si>
    <t>5.3</t>
  </si>
  <si>
    <t>5.4</t>
  </si>
  <si>
    <t>5.5</t>
  </si>
  <si>
    <t>Prémiumévek program támogatása</t>
  </si>
  <si>
    <t xml:space="preserve">Központosított pénzmaradvány összesen </t>
  </si>
  <si>
    <t>Raiffeisen Bank</t>
  </si>
  <si>
    <t xml:space="preserve">Önkormányzati lakások karbantartása, felújítása, építése                             </t>
  </si>
  <si>
    <t>Normatíva visszafizetés</t>
  </si>
  <si>
    <t>Kamat és egyéb hitelfelvételi kiadások</t>
  </si>
  <si>
    <t>Térfigyelő rendszer</t>
  </si>
  <si>
    <t>Díszkivilágítás fel-és leszerelése</t>
  </si>
  <si>
    <t>Kiskőrösi Többcélú Kistérségi Társulás oktatási, nevelési feladatainak támogatása</t>
  </si>
  <si>
    <t>Ügyrendi és Összeférhetetlenségi Bizottság támogatásai</t>
  </si>
  <si>
    <t>Művelődési , Közoktatási és Sport Bizottság támogatásai</t>
  </si>
  <si>
    <t>Egészségügyi és Szociálpolitikai Bizottság támogatásai</t>
  </si>
  <si>
    <t>Szakorvosi Rendelőintézet infrastrukturális fejlesztése DAOP pályázat</t>
  </si>
  <si>
    <t>Kiskőrös Város Fúvószenekarát és Mazsorett Csoportját Támogatók Egyesülete</t>
  </si>
  <si>
    <t>Kiskőrösi Városi Borverseny támogatása</t>
  </si>
  <si>
    <t>Kadarka Nemzetközi Nagydíj rose- és vörösborverseny támogatása</t>
  </si>
  <si>
    <t>Tagdíj befizetések</t>
  </si>
  <si>
    <t>Mezőgazdasági tevékenység (mezőőri feladatok)</t>
  </si>
  <si>
    <t>Szociális feladatok ellátása (hivatásos gondnoki feladatok)</t>
  </si>
  <si>
    <t>KÖZPONTOSÍTOTT KIADÁSOK ÖSSZESEN (8-35 sorok)</t>
  </si>
  <si>
    <t>KIADÁSOK ÖSSZESEN (1-35 sorok)</t>
  </si>
  <si>
    <t>Térfigyelő rendszer - önerő</t>
  </si>
  <si>
    <t>Önkormányzati bérlakások felújítása, kialakítása - önerő</t>
  </si>
  <si>
    <t>Felhalmozási célú támogatások</t>
  </si>
  <si>
    <t>Szennyvízcsatorna hálózat</t>
  </si>
  <si>
    <t>Szakorvosi Rendelőintézet infrastrukturális fejlesztés - DAOP 2007.-4.1.1. önerő</t>
  </si>
  <si>
    <t>Központosított adatok               B</t>
  </si>
  <si>
    <t>Költségvetési kiutalási igény     G</t>
  </si>
  <si>
    <t>Jóváhagyott pénzmaradvány    F+G</t>
  </si>
  <si>
    <t>Polgármesteri Hivatal komplex akadálymentesítése DAOP-2007.-4.3.1. önerő</t>
  </si>
  <si>
    <t>Petőfi Sándor Városi  Könyvtár eMOP pályázat - számítógép vásárlás</t>
  </si>
  <si>
    <t>Egészségügyi Szolgálat pénzügyi lízing</t>
  </si>
  <si>
    <t>Hivatásos Tűzoltóság beruházás</t>
  </si>
  <si>
    <t>Petőfi Szülőház és Emlékmúzeum - Év tájháza díj</t>
  </si>
  <si>
    <t xml:space="preserve">Felújítások </t>
  </si>
  <si>
    <t>Polgármesteri Hivatal földszinti mosdó felújítása Darft-CÉDE 2008. önerő</t>
  </si>
  <si>
    <t>Ö S S Z E S E N</t>
  </si>
  <si>
    <r>
      <t>*</t>
    </r>
    <r>
      <rPr>
        <sz val="8"/>
        <rFont val="Times New Roman CE"/>
        <family val="0"/>
      </rPr>
      <t>3.018 ezer EURO 268 HUF/EUR árfolyamon számítva</t>
    </r>
  </si>
  <si>
    <t>Önkormányzati összesen     C=A+B (finanszírozási műveletek bevételei, kiadásai nélkül)</t>
  </si>
  <si>
    <r>
      <t xml:space="preserve">INTÉZMÉNYEK ÖSSZESEN </t>
    </r>
    <r>
      <rPr>
        <sz val="7"/>
        <rFont val="Times New Roman CE"/>
        <family val="1"/>
      </rPr>
      <t>(1-7.sor) A</t>
    </r>
  </si>
  <si>
    <t xml:space="preserve">kiadások </t>
  </si>
  <si>
    <t>összesen</t>
  </si>
  <si>
    <t>CIB Bank Zrt. - számlavezetési díj</t>
  </si>
  <si>
    <t>VI. számú szennyvízcsatorna lakossági hozzájárulás</t>
  </si>
  <si>
    <t>Szarvas utca 2. beruházás - előleg visszafizetés</t>
  </si>
  <si>
    <t>BERUHÁZÁSOK, FELÚJÍTÁSOK ÉS EGYÉB FELHALMOZÁSI</t>
  </si>
  <si>
    <t>JELLEGŰ KIADÁSOK ÖSSZESEN</t>
  </si>
  <si>
    <t>Pótlék, bírság</t>
  </si>
  <si>
    <t>1.24</t>
  </si>
  <si>
    <t>1.25</t>
  </si>
  <si>
    <t>1.26</t>
  </si>
  <si>
    <t>Országos Szlovák Önkormányzat támogatása</t>
  </si>
  <si>
    <t>1.27</t>
  </si>
  <si>
    <t>Nyári gyermekétkeztetés</t>
  </si>
  <si>
    <t>2.1</t>
  </si>
  <si>
    <t>Országos Szlovák Kisebbségi Önk. tám.</t>
  </si>
  <si>
    <t xml:space="preserve">Önkormány-zati </t>
  </si>
  <si>
    <t>hozzájárulás</t>
  </si>
  <si>
    <t xml:space="preserve">Egyes jövedelempótló támogatások kiegészítése összesen </t>
  </si>
  <si>
    <t xml:space="preserve">Kamatbevételek </t>
  </si>
  <si>
    <t>2.2</t>
  </si>
  <si>
    <t>Polgármesteri céltartalék felhasználása</t>
  </si>
  <si>
    <t>29.</t>
  </si>
  <si>
    <t>30.</t>
  </si>
  <si>
    <t>31.</t>
  </si>
  <si>
    <t>32.</t>
  </si>
  <si>
    <t>33.</t>
  </si>
  <si>
    <t>34.</t>
  </si>
  <si>
    <t>Szennyvízcsatorna-hálózat VII-VIII. ütemének kiépítése KEOP-1-2-0</t>
  </si>
  <si>
    <t>Kelemensor útépítés kiadásai</t>
  </si>
  <si>
    <t>Értékbecslések, tulajdoni lapok, térképkivonatok, vázrajzok</t>
  </si>
  <si>
    <t>Alapfokú művészetoktatási intézmények támogatása</t>
  </si>
  <si>
    <t>Központosított állami támogatások összesen VII./1-11.</t>
  </si>
  <si>
    <t>Felhalmozási célú pályázaton nyert támogatások összesen IX./1-5.</t>
  </si>
  <si>
    <t>2013.</t>
  </si>
  <si>
    <t>Petőfi tér 2. értékesítése a KTKT-nak</t>
  </si>
  <si>
    <t>Kötvénykibocsátás kamatbevétele</t>
  </si>
  <si>
    <t>Kötvénykibocsátás adósságszolgálata</t>
  </si>
  <si>
    <t>Forgatási célú pénzügyi műveletek egyenlege</t>
  </si>
  <si>
    <t>egyenlege  ( + - )</t>
  </si>
  <si>
    <t>(1+2+-3-4-5)</t>
  </si>
  <si>
    <t>korrekciók  ( + - )</t>
  </si>
  <si>
    <t>elvonások  ( + - )</t>
  </si>
  <si>
    <t>Költségvetési pénzmaradvány</t>
  </si>
  <si>
    <t>(6+7+8)</t>
  </si>
  <si>
    <t>módosító tétel  ( + - )</t>
  </si>
  <si>
    <t>A 12. sorból az Egészségbiztosí-</t>
  </si>
  <si>
    <t>( 9+-10+-11 )</t>
  </si>
  <si>
    <t>A 12. sorból Kötelezettséggel terhelt pénzmaradvány</t>
  </si>
  <si>
    <t>A 12. sorból  Szabad pénzmaradvány</t>
  </si>
  <si>
    <t>Megnevezés</t>
  </si>
  <si>
    <t>Önkormányzat sajátos folyó bevételei összesen II./1-12.</t>
  </si>
  <si>
    <t>Művelődési Ház füstelvezető, elektromos javítás</t>
  </si>
  <si>
    <t>"Polgármesteri hivatalok szervezetfejlesztése" pályázat</t>
  </si>
  <si>
    <t>Kötvénykibocsátás fejlesztési feladatai</t>
  </si>
  <si>
    <t>Kötvénykibocsátáshoz kapcsolódó kamat és egyéb fizetési kötelezettségek</t>
  </si>
  <si>
    <t>Európai Parlamenti szavazás</t>
  </si>
  <si>
    <t>Önkormányzati képviselő-választás</t>
  </si>
  <si>
    <t>"Út a munkához program"</t>
  </si>
  <si>
    <t>Környezetvédelmi alap bevételből minőségi védelemre</t>
  </si>
  <si>
    <t>Közrendvédelmi bírság bevételből pályázat - Keceli Polgárőrséggel</t>
  </si>
  <si>
    <t>Református Egyházközség épülete karbantartásának támogatása</t>
  </si>
  <si>
    <t>Sebességmérő beszerzése</t>
  </si>
  <si>
    <t>Városközpont rekonstrukció</t>
  </si>
  <si>
    <t>Közösségi közlekedés fejlesztése-DAOP-2009-3.2.1/A önerő</t>
  </si>
  <si>
    <t>Alapfokú művészetoktatás - fejlesztési pályázat</t>
  </si>
  <si>
    <t>35.</t>
  </si>
  <si>
    <t>Petőfi tér 2. értékesítése KTKT-nak</t>
  </si>
  <si>
    <t>Közművagyon bérbeadásából származó bevétel</t>
  </si>
  <si>
    <t>1.28</t>
  </si>
  <si>
    <t>1.29</t>
  </si>
  <si>
    <t>1.30</t>
  </si>
  <si>
    <t>Agrármarketing Centrum - Szüreti Napok támogatása</t>
  </si>
  <si>
    <t>Létszámcsökkentési pályázat</t>
  </si>
  <si>
    <t>KÖTELEZETTSÉGEK</t>
  </si>
  <si>
    <t>Tárgyévet követő évek tervezett  előirányzata</t>
  </si>
  <si>
    <t>2010.</t>
  </si>
  <si>
    <t>2011.</t>
  </si>
  <si>
    <t>2012.</t>
  </si>
  <si>
    <t>Működési célú hitel visszafizetése</t>
  </si>
  <si>
    <t>PPP Tanuszoda szolgáltatási díj</t>
  </si>
  <si>
    <t>PPP Tornaterem szolgáltatási díj</t>
  </si>
  <si>
    <t>ÖSSZESEN:</t>
  </si>
  <si>
    <t>KÖVETELÉSEK</t>
  </si>
  <si>
    <t xml:space="preserve"> Bérlakás vásárlás</t>
  </si>
  <si>
    <t xml:space="preserve"> Volt állami tulajdonban lévő lakásvásárlási kölcsön</t>
  </si>
  <si>
    <t xml:space="preserve"> Szoc.lakásvásárlás, belvízkárosult lakások visszatérítendő támogatása</t>
  </si>
  <si>
    <t>Szöveges indoklás</t>
  </si>
  <si>
    <t xml:space="preserve">Az   VI. sz. Szennyvízközmű Társulat által felvett hitelhez vállalt önkormányztai kezesség. A hitel visszafizetésének fedezetéül az engedményezett LTP érdekeltségi hozzájárulások szolgálnak. </t>
  </si>
  <si>
    <t>Az Egészségügyi Szolgálat pénzügyi lízing szerződése 2010-ig.</t>
  </si>
  <si>
    <t>A működési hitel átütemezett összege</t>
  </si>
  <si>
    <t>PPP szolgálttaási díjak és hozzájárulások: szerződés szerint számított összegek</t>
  </si>
  <si>
    <t>Követelések: a meglévő követelések tervezett megtérülése</t>
  </si>
  <si>
    <t>e Ft</t>
  </si>
  <si>
    <t>Források</t>
  </si>
  <si>
    <t>Saját</t>
  </si>
  <si>
    <t>Hazai - központi támogatás</t>
  </si>
  <si>
    <t>EU</t>
  </si>
  <si>
    <t>Források összesen:</t>
  </si>
  <si>
    <t>Beruházás költsége összesen:</t>
  </si>
  <si>
    <t>HITELEK</t>
  </si>
  <si>
    <t>Hitelezők/kötelezettek *</t>
  </si>
  <si>
    <t xml:space="preserve">Cél és eszközök megnevezése </t>
  </si>
  <si>
    <t>Felvétel éve</t>
  </si>
  <si>
    <t>Lejárat éve</t>
  </si>
  <si>
    <t>Teljes futamidő</t>
  </si>
  <si>
    <t>Tárgyévi nyitó</t>
  </si>
  <si>
    <t>Tárgyévi törlesztés</t>
  </si>
  <si>
    <t>Tárgyévi záró</t>
  </si>
  <si>
    <t>Tárgyévet követő évben esedékes törlesztés</t>
  </si>
  <si>
    <t>OTP Bank Nyrt</t>
  </si>
  <si>
    <t>Közkincs program: Petőfi Sándor Városi Könyvtár és Petőfi Sándor Művelődési Központ</t>
  </si>
  <si>
    <t>Likviditási hitelállomány</t>
  </si>
  <si>
    <t>KÖLCSÖNÖK</t>
  </si>
  <si>
    <t>Bérlakások vásárlói</t>
  </si>
  <si>
    <t>Bérlakás vásárlás</t>
  </si>
  <si>
    <t>folyamatos</t>
  </si>
  <si>
    <t>Munkáltató kölcsön</t>
  </si>
  <si>
    <t>Dolgozók</t>
  </si>
  <si>
    <t xml:space="preserve"> Volt állami tulajdonban lévő lakások vásárlói</t>
  </si>
  <si>
    <t xml:space="preserve"> Szoc.lakásvásárlás, belvízkárosult lakásokra tám.igénybe vevők</t>
  </si>
  <si>
    <t>Lakásvásárlás, lakáskorszerűsítés</t>
  </si>
  <si>
    <t>Saját bevételek</t>
  </si>
  <si>
    <t>Kiadások</t>
  </si>
  <si>
    <t>Képződött pénz-marad-vány összesen</t>
  </si>
  <si>
    <t>Támo-gatás- értékű kiadások</t>
  </si>
  <si>
    <t>Módo-sított előirányzat</t>
  </si>
  <si>
    <t>Bevételi többlet / hiány</t>
  </si>
  <si>
    <t>Kiadási meg-takarítás</t>
  </si>
  <si>
    <t>Tarta-lékok</t>
  </si>
  <si>
    <t xml:space="preserve">Városi Alapfokú Művészetoktatási Intézmény </t>
  </si>
  <si>
    <t xml:space="preserve">Városi Sportigazgatóság </t>
  </si>
  <si>
    <t xml:space="preserve">Petőfi Sándor Városi Könyvtár </t>
  </si>
  <si>
    <t>Szabad pénzmaradvány kiadási megtakarításból</t>
  </si>
  <si>
    <t>INTÉZMÉNYI ÖSSZES PÉNZMARADVÁNY (I.+II.+III.)</t>
  </si>
  <si>
    <t>36.</t>
  </si>
  <si>
    <t>37.</t>
  </si>
  <si>
    <t>38.</t>
  </si>
  <si>
    <t>39.</t>
  </si>
  <si>
    <t>40.</t>
  </si>
  <si>
    <t>41.</t>
  </si>
  <si>
    <t>42.</t>
  </si>
  <si>
    <t>II.    Központosított szabad pénzmaradvány</t>
  </si>
  <si>
    <t>III.   Központosított pénzmaradvány összesen: (I.+II.)</t>
  </si>
  <si>
    <t>Összes szabad pénzmaradvány</t>
  </si>
  <si>
    <t>Összes működési bevételi kiesés</t>
  </si>
  <si>
    <t>Előző évi költségvetési beszámoló záró adatai</t>
  </si>
  <si>
    <t>Auditálási eltérések (±)*</t>
  </si>
  <si>
    <t>Előző évi auditált egyszerűsített beszámoló záró adatai</t>
  </si>
  <si>
    <t>Tárgyévi költségvetési beszámoló záró adatai</t>
  </si>
  <si>
    <t>Auditálási eltérések (±)**</t>
  </si>
  <si>
    <t>Tárgyévi auditált egyszerűsített beszámoló záró adatai</t>
  </si>
  <si>
    <t>E S Z K Ö Z Ö K</t>
  </si>
  <si>
    <t>A) BEFEKTETT ESZKÖZÖK</t>
  </si>
  <si>
    <t xml:space="preserve"> I.   Immateriális javak</t>
  </si>
  <si>
    <t xml:space="preserve"> II.  Tárgyi eszközök</t>
  </si>
  <si>
    <t xml:space="preserve"> III. Befektetett pénzügyi eszközök</t>
  </si>
  <si>
    <t xml:space="preserve"> IV. Üzemeltetésre, kezelésre átadott,                                                                                                                                                                                                                         </t>
  </si>
  <si>
    <t>B)  FORGÓESZKÖZÖK</t>
  </si>
  <si>
    <t xml:space="preserve"> I.   Készletek</t>
  </si>
  <si>
    <t xml:space="preserve"> II.  Követelések</t>
  </si>
  <si>
    <t xml:space="preserve"> III. Értékpapírok</t>
  </si>
  <si>
    <t xml:space="preserve"> IV. Pénzeszközök</t>
  </si>
  <si>
    <t xml:space="preserve"> V.  Egyéb aktív pénzügyi elszámolások</t>
  </si>
  <si>
    <t>ESZKÖZÖK ÖSSZESEN</t>
  </si>
  <si>
    <t>Előző év auditált egyszerűsített beszámoló záró adatai</t>
  </si>
  <si>
    <t>Tárgyév auditált egyszerűsített beszámoló záró adatai</t>
  </si>
  <si>
    <t>F O R R Á S O K</t>
  </si>
  <si>
    <t>D)  SAJÁT  TŐKE</t>
  </si>
  <si>
    <t xml:space="preserve"> 1. Induló tőke</t>
  </si>
  <si>
    <t xml:space="preserve"> 2. Tőkeváltozások</t>
  </si>
  <si>
    <t>E)  TARTALÉKOK</t>
  </si>
  <si>
    <t xml:space="preserve">  I.  Költségvetési tartalékok</t>
  </si>
  <si>
    <t xml:space="preserve"> II. Vállalkozási tartalékok</t>
  </si>
  <si>
    <t>F) KÖTELEZETTSÉGEK</t>
  </si>
  <si>
    <t xml:space="preserve"> I.  Hosszú lejáratú kötelezettségek</t>
  </si>
  <si>
    <t xml:space="preserve"> II.  Rövid lejáratú kötelezettségek</t>
  </si>
  <si>
    <t xml:space="preserve"> III. Egyéb passzív pénzügyi elszámolások</t>
  </si>
  <si>
    <t>FORRÁSOK ÖSSZESEN</t>
  </si>
  <si>
    <t>*   Az előző évet érintő és a könyvekben tárgyévben rögzített módosítások</t>
  </si>
  <si>
    <t>**  A tárgyévet érintő és a könyvekben a tárgyévet követő évben rögzített módosítások</t>
  </si>
  <si>
    <r>
      <t xml:space="preserve"> 3. </t>
    </r>
    <r>
      <rPr>
        <sz val="8"/>
        <rFont val="Times New Roman"/>
        <family val="1"/>
      </rPr>
      <t>*</t>
    </r>
    <r>
      <rPr>
        <sz val="8"/>
        <rFont val="Times New Roman CE"/>
        <family val="1"/>
      </rPr>
      <t>Értékelési tartalék</t>
    </r>
  </si>
  <si>
    <t>Eredeti</t>
  </si>
  <si>
    <t xml:space="preserve">Módosított </t>
  </si>
  <si>
    <t>előirányzat</t>
  </si>
  <si>
    <t>01.</t>
  </si>
  <si>
    <t xml:space="preserve">     Személyi juttatások</t>
  </si>
  <si>
    <t>02.</t>
  </si>
  <si>
    <t xml:space="preserve">     Munkaadót terhelő járulék</t>
  </si>
  <si>
    <t>03.</t>
  </si>
  <si>
    <t xml:space="preserve">     Dologi és egyéb folyó kiadások</t>
  </si>
  <si>
    <t>04.</t>
  </si>
  <si>
    <t xml:space="preserve">     Működési célú támogatásértékű kiadások, egyéb támogatások</t>
  </si>
  <si>
    <t>05.</t>
  </si>
  <si>
    <t xml:space="preserve">     Államháztartáson kívülre végleges működési pénzeszközátadások</t>
  </si>
  <si>
    <t>06.</t>
  </si>
  <si>
    <t xml:space="preserve">     Ellátottak pénzbeli juttatásai</t>
  </si>
  <si>
    <t>07.</t>
  </si>
  <si>
    <t xml:space="preserve">     Felújítás</t>
  </si>
  <si>
    <t>08.</t>
  </si>
  <si>
    <t xml:space="preserve">     Felhalmozási kiadások</t>
  </si>
  <si>
    <t>09.</t>
  </si>
  <si>
    <t xml:space="preserve">     Felhalmozási célú támogatásértékű kiadások, egyéb támogatások</t>
  </si>
  <si>
    <t xml:space="preserve">    Államháztartáson kívülre végleges felhalmozási pénzeszközátadások</t>
  </si>
  <si>
    <t xml:space="preserve">    Hosszú lejáratú kölcsönök nyújtása</t>
  </si>
  <si>
    <t xml:space="preserve">    Rövid lejáratú kölcsönök nyújtása</t>
  </si>
  <si>
    <t xml:space="preserve">    Tartós hitelviszonyt megtestesítő értékpapírok kiadásai</t>
  </si>
  <si>
    <t xml:space="preserve">    Forgatási célú hitelviszonyt megtestesítő értékpapírok kiadásai</t>
  </si>
  <si>
    <t xml:space="preserve">    Pénzforgalom nélküli kiadások</t>
  </si>
  <si>
    <t xml:space="preserve">    Továbbadási (lebonyolítási) célú kiadások </t>
  </si>
  <si>
    <t xml:space="preserve">    Kiegyenlítő, függő, átfutó kiadások</t>
  </si>
  <si>
    <t xml:space="preserve">    Intézményi működési bevételek</t>
  </si>
  <si>
    <t xml:space="preserve">    Önkormányzatok sajátos működési bevétele</t>
  </si>
  <si>
    <t xml:space="preserve">    Működési célú támogatásértékű bevételek, egyéb támogatások</t>
  </si>
  <si>
    <t xml:space="preserve">    Államháztartáson kívülről végleges pénzeszközátvételek</t>
  </si>
  <si>
    <t xml:space="preserve">    Felhalmozási és tőke jellegű bevételek</t>
  </si>
  <si>
    <t xml:space="preserve">   28-ból: Önkormányzatok sajátos felhalmozási és tőkebevételei</t>
  </si>
  <si>
    <t xml:space="preserve">   Felhalmozási célú támogatásértékű bevételek, egyéb támogatások</t>
  </si>
  <si>
    <t xml:space="preserve">   Államháztartáson kívülről végleges felhalmozási pénzeszközátvételek</t>
  </si>
  <si>
    <t xml:space="preserve">   Támogatások, kiegészítések </t>
  </si>
  <si>
    <t xml:space="preserve">    32-ből: Önkormányzatok költségvetési támogatása   </t>
  </si>
  <si>
    <t xml:space="preserve">    Hosszú lejáratú kölcsönök visszatérülése</t>
  </si>
  <si>
    <t xml:space="preserve">    Rövid lejáratú kölcsönök visszatérülése</t>
  </si>
  <si>
    <t xml:space="preserve">    Tartós hitelviszonyt megtestesítő értékpapírok bevételei</t>
  </si>
  <si>
    <t xml:space="preserve">    Forgatási célú hitelviszonyt megtestesítő értékpapírok bevételei</t>
  </si>
  <si>
    <t>43.</t>
  </si>
  <si>
    <t xml:space="preserve">    Pénzforgalom nélküli bevételek</t>
  </si>
  <si>
    <t>44.</t>
  </si>
  <si>
    <t xml:space="preserve">    Továbbadási (lebonyolítási) célú bevételek</t>
  </si>
  <si>
    <t>45.</t>
  </si>
  <si>
    <t xml:space="preserve">    Kiegyenlítő, függő, átfutó bevételek</t>
  </si>
  <si>
    <t>46.</t>
  </si>
  <si>
    <t>47.</t>
  </si>
  <si>
    <t>48.</t>
  </si>
  <si>
    <t>49.</t>
  </si>
  <si>
    <t>50.</t>
  </si>
  <si>
    <r>
      <t xml:space="preserve">   Költségvetési pénzforgalmi kiadások összesen </t>
    </r>
    <r>
      <rPr>
        <sz val="8"/>
        <rFont val="Times New Roman"/>
        <family val="1"/>
      </rPr>
      <t>(01+…+12)</t>
    </r>
  </si>
  <si>
    <r>
      <t xml:space="preserve">    </t>
    </r>
    <r>
      <rPr>
        <sz val="8"/>
        <rFont val="Times New Roman"/>
        <family val="1"/>
      </rPr>
      <t>Hosszú lejáratú hitelek</t>
    </r>
  </si>
  <si>
    <r>
      <t xml:space="preserve">    </t>
    </r>
    <r>
      <rPr>
        <sz val="8"/>
        <rFont val="Times New Roman"/>
        <family val="1"/>
      </rPr>
      <t>Rövid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lejáratú hitelek</t>
    </r>
  </si>
  <si>
    <r>
      <t xml:space="preserve">    Finanszírozási kiadások összesen </t>
    </r>
    <r>
      <rPr>
        <sz val="8"/>
        <rFont val="Times New Roman"/>
        <family val="1"/>
      </rPr>
      <t>(14+...+17)</t>
    </r>
  </si>
  <si>
    <r>
      <t xml:space="preserve">    Pénzforgalmi kiadások </t>
    </r>
    <r>
      <rPr>
        <sz val="8"/>
        <rFont val="Times New Roman"/>
        <family val="1"/>
      </rPr>
      <t>(13+18)</t>
    </r>
  </si>
  <si>
    <r>
      <t xml:space="preserve">    KIADÁSOK ÖSSZESEN </t>
    </r>
    <r>
      <rPr>
        <sz val="8"/>
        <rFont val="Times New Roman"/>
        <family val="1"/>
      </rPr>
      <t>(19+...+22)</t>
    </r>
  </si>
  <si>
    <r>
      <t xml:space="preserve">    Költségvetési pénzforgalmi bevételek összesen </t>
    </r>
    <r>
      <rPr>
        <sz val="8"/>
        <rFont val="Times New Roman"/>
        <family val="1"/>
      </rPr>
      <t>(24+…28+30+31+32+34+35)</t>
    </r>
  </si>
  <si>
    <r>
      <t xml:space="preserve">    </t>
    </r>
    <r>
      <rPr>
        <sz val="8"/>
        <rFont val="Times New Roman"/>
        <family val="1"/>
      </rPr>
      <t>Hosszú lejáratú hitelek felvétele</t>
    </r>
  </si>
  <si>
    <r>
      <t xml:space="preserve">   </t>
    </r>
    <r>
      <rPr>
        <sz val="8"/>
        <rFont val="Times New Roman"/>
        <family val="1"/>
      </rPr>
      <t xml:space="preserve"> Rövid lejáratú hitelek felvétele</t>
    </r>
  </si>
  <si>
    <r>
      <t xml:space="preserve">    Finanszírozási bevételek összesen </t>
    </r>
    <r>
      <rPr>
        <sz val="8"/>
        <rFont val="Times New Roman"/>
        <family val="1"/>
      </rPr>
      <t>(37+…+40)</t>
    </r>
  </si>
  <si>
    <r>
      <t xml:space="preserve">    Pénzforgalmi bevételek </t>
    </r>
    <r>
      <rPr>
        <sz val="8"/>
        <rFont val="Times New Roman"/>
        <family val="1"/>
      </rPr>
      <t>(36+41)</t>
    </r>
  </si>
  <si>
    <r>
      <t xml:space="preserve">    BEVÉTELEK ÖSSZESEN </t>
    </r>
    <r>
      <rPr>
        <sz val="8"/>
        <rFont val="Times New Roman"/>
        <family val="1"/>
      </rPr>
      <t>(42+...+45)</t>
    </r>
  </si>
  <si>
    <r>
      <t xml:space="preserve">Költségvetési bevételek és kiadások különbsége </t>
    </r>
    <r>
      <rPr>
        <sz val="8"/>
        <rFont val="Times New Roman"/>
        <family val="1"/>
      </rPr>
      <t>(36+43-13-20)</t>
    </r>
    <r>
      <rPr>
        <b/>
        <sz val="8"/>
        <rFont val="Times New Roman"/>
        <family val="1"/>
      </rPr>
      <t xml:space="preserve">   [költségvetési hiány(-),költségvetési többlet(+)]        </t>
    </r>
  </si>
  <si>
    <r>
      <t xml:space="preserve">    Finanszírozási műveletek eredménye </t>
    </r>
    <r>
      <rPr>
        <sz val="8"/>
        <rFont val="Times New Roman"/>
        <family val="1"/>
      </rPr>
      <t>(41-18)</t>
    </r>
  </si>
  <si>
    <r>
      <t xml:space="preserve">    Továbbadási (lebonyolítási) célú bevételek és kiadások különbsége </t>
    </r>
    <r>
      <rPr>
        <sz val="8"/>
        <rFont val="Times New Roman"/>
        <family val="1"/>
      </rPr>
      <t>(44-21)</t>
    </r>
  </si>
  <si>
    <r>
      <t xml:space="preserve">    Aktív és passzív műveletek egyenlege </t>
    </r>
    <r>
      <rPr>
        <sz val="8"/>
        <rFont val="Times New Roman"/>
        <family val="1"/>
      </rPr>
      <t>(45-22)</t>
    </r>
  </si>
  <si>
    <t>Sor-    szám</t>
  </si>
  <si>
    <t xml:space="preserve">1.   </t>
  </si>
  <si>
    <t>Záró pénzkészlet</t>
  </si>
  <si>
    <t xml:space="preserve">2.   </t>
  </si>
  <si>
    <t>Egyéb aktív és passzív pénzügyi</t>
  </si>
  <si>
    <t xml:space="preserve">      </t>
  </si>
  <si>
    <t>elszámolások összevont záró-</t>
  </si>
  <si>
    <t xml:space="preserve">3.   </t>
  </si>
  <si>
    <t>Előző év(ek)ben képzett</t>
  </si>
  <si>
    <t xml:space="preserve"> tartalékok maradványa  ( - )</t>
  </si>
  <si>
    <t xml:space="preserve">4.   </t>
  </si>
  <si>
    <t xml:space="preserve"> Vállalkozási tevékenység</t>
  </si>
  <si>
    <t xml:space="preserve">  pénzforgalmi eredménye  ( - )</t>
  </si>
  <si>
    <t xml:space="preserve">5.   </t>
  </si>
  <si>
    <t>Tárgyévi helyesbített</t>
  </si>
  <si>
    <t xml:space="preserve">       </t>
  </si>
  <si>
    <t>pénzmaradvány</t>
  </si>
  <si>
    <t>Finanszírozásból származó</t>
  </si>
  <si>
    <t>Pénzmaradványt terhelő</t>
  </si>
  <si>
    <t>A vállalkozási tevékenység</t>
  </si>
  <si>
    <t>eredményéből alaptevékenység</t>
  </si>
  <si>
    <t xml:space="preserve">     </t>
  </si>
  <si>
    <t xml:space="preserve"> ellátására felhasznált összeg</t>
  </si>
  <si>
    <t>Költségvetési pénzmaradványt</t>
  </si>
  <si>
    <t>külön jogszabály alapján</t>
  </si>
  <si>
    <t>Módosított pénzmaradvány</t>
  </si>
  <si>
    <t xml:space="preserve"> tási alapból folyósított pénzesz-</t>
  </si>
  <si>
    <t>közmaradvány</t>
  </si>
  <si>
    <t>*    Az előző évet érintő és a könyvekben tárgyévben rögzített módosítások</t>
  </si>
  <si>
    <t xml:space="preserve">Előző évi </t>
  </si>
  <si>
    <t>Auditálási</t>
  </si>
  <si>
    <t>Előző évi auditált</t>
  </si>
  <si>
    <t xml:space="preserve">Tárgy évi </t>
  </si>
  <si>
    <t>Tárgyévi auditált</t>
  </si>
  <si>
    <t>Tárt Kapus Létesítmények Program kiadásai</t>
  </si>
  <si>
    <t>Művelődési Központ kazánház átalakítási engedélyezési terv</t>
  </si>
  <si>
    <t>Kötvénykibocsátás fejlesztési feladatok ellátásához</t>
  </si>
  <si>
    <t>költségvetési</t>
  </si>
  <si>
    <t>eltérések</t>
  </si>
  <si>
    <t>egyszerűsitett</t>
  </si>
  <si>
    <t>költsévetési</t>
  </si>
  <si>
    <t>beszámoló záró</t>
  </si>
  <si>
    <t>( +/- )</t>
  </si>
  <si>
    <t>beszámoló</t>
  </si>
  <si>
    <t>(+/- )</t>
  </si>
  <si>
    <t>adatai</t>
  </si>
  <si>
    <t>záró adatai</t>
  </si>
  <si>
    <t xml:space="preserve">Vállalkozási tevékenység szakfeladaton elszámolt  bevételei </t>
  </si>
  <si>
    <t>Vállalkozási tevékenység szakfeladaton elszámolt  kiadásai (-)</t>
  </si>
  <si>
    <t>Vállalkozási tevékenység pénzforgalmi eredménye    (1-2)</t>
  </si>
  <si>
    <t xml:space="preserve">Vállalkozási tevékenységet  terhelő értékcsökkenési    leírás (-) </t>
  </si>
  <si>
    <t>Alaptevékenység ellátására felhasznált és felhasználni tervezett eredmény (-)</t>
  </si>
  <si>
    <t xml:space="preserve">6.    </t>
  </si>
  <si>
    <t xml:space="preserve">7.    </t>
  </si>
  <si>
    <t xml:space="preserve">8.    </t>
  </si>
  <si>
    <t xml:space="preserve"> Vállalkozási tevékenységet terhelő befizetési kötelezettség</t>
  </si>
  <si>
    <t xml:space="preserve">9.    </t>
  </si>
  <si>
    <t>Tartalékba helyezhető összeg</t>
  </si>
  <si>
    <t>Megjegyzés: Az Önkormányzat költségvetési szervei vállalkozási tevékenységet nem folytattak.</t>
  </si>
  <si>
    <t>** A tárgyévet érintő és a könyvekben a tárgyévet követő évben rögzített módosítások</t>
  </si>
  <si>
    <r>
      <t>Pénzforgalmi eredményt külön jogszabály alapján módosító egyéb tétel (</t>
    </r>
    <r>
      <rPr>
        <u val="single"/>
        <sz val="8"/>
        <rFont val="Tahoma"/>
        <family val="2"/>
      </rPr>
      <t>+</t>
    </r>
    <r>
      <rPr>
        <sz val="8"/>
        <rFont val="Tahoma"/>
        <family val="2"/>
      </rPr>
      <t>)</t>
    </r>
  </si>
  <si>
    <r>
      <t xml:space="preserve"> Vállalkozási tevékenység módosított pénzforgalmi eredménye (3-4-5</t>
    </r>
    <r>
      <rPr>
        <b/>
        <u val="single"/>
        <sz val="8"/>
        <rFont val="Tahoma"/>
        <family val="2"/>
      </rPr>
      <t>+</t>
    </r>
    <r>
      <rPr>
        <b/>
        <sz val="8"/>
        <rFont val="Tahoma"/>
        <family val="2"/>
      </rPr>
      <t>6)</t>
    </r>
  </si>
  <si>
    <t>VAGYONKIMUTATÁS TAGOLÁSA A KÖNYVVITELI MÉRLEGBEN SZEREPLŐ ADATOK ALAPJÁN</t>
  </si>
  <si>
    <t>A) BEFEKTETETT ESZKÖZÖK</t>
  </si>
  <si>
    <t xml:space="preserve">Önkormányzati lakások karbantartása, felújítása, építés,                             </t>
  </si>
  <si>
    <t xml:space="preserve">Környezetvédelmi alap bevételből minőségi védelemre </t>
  </si>
  <si>
    <t>Térfigyelő-rendszer</t>
  </si>
  <si>
    <t>Közösségi közlekedés fejlesztése - DAOP-2009-3.2.1/A önerő</t>
  </si>
  <si>
    <t>Kiskőrösi Többcélú Kistérségi Társulás Háziorvosi ügyelet működtetési támogatás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</si>
</sst>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00000"/>
    <numFmt numFmtId="170" formatCode="0.0%"/>
    <numFmt numFmtId="171" formatCode="_-* #,##0.000\ &quot;Ft&quot;_-;\-* #,##0.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0.000"/>
    <numFmt numFmtId="175" formatCode="#,##0.000"/>
    <numFmt numFmtId="176" formatCode="#,##0.0000"/>
    <numFmt numFmtId="177" formatCode="00"/>
    <numFmt numFmtId="178" formatCode="0000000"/>
    <numFmt numFmtId="179" formatCode="0.000000"/>
    <numFmt numFmtId="180" formatCode="0.00000"/>
    <numFmt numFmtId="181" formatCode="0.0000"/>
    <numFmt numFmtId="182" formatCode="_-* #,##0.0\ _F_t_-;\-* #,##0.0\ _F_t_-;_-* &quot;-&quot;??\ _F_t_-;_-@_-"/>
    <numFmt numFmtId="183" formatCode="_-* #,##0\ _F_t_-;\-* #,##0\ _F_t_-;_-* &quot;-&quot;??\ _F_t_-;_-@_-"/>
    <numFmt numFmtId="184" formatCode="#,##0.00;[Red]\-#,##0.00"/>
    <numFmt numFmtId="185" formatCode="#,##0;[Red]\-#,##0"/>
  </numFmts>
  <fonts count="9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Times New Roman CE"/>
      <family val="1"/>
    </font>
    <font>
      <sz val="7"/>
      <name val="Arial CE"/>
      <family val="0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7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b/>
      <i/>
      <sz val="8"/>
      <name val="Times New Roman"/>
      <family val="1"/>
    </font>
    <font>
      <sz val="9"/>
      <color indexed="8"/>
      <name val="Tahoma"/>
      <family val="2"/>
    </font>
    <font>
      <sz val="12"/>
      <color indexed="8"/>
      <name val="Tahoma"/>
      <family val="2"/>
    </font>
    <font>
      <sz val="10"/>
      <name val="Arial"/>
      <family val="0"/>
    </font>
    <font>
      <b/>
      <u val="single"/>
      <sz val="9"/>
      <name val="Times New Roman CE"/>
      <family val="1"/>
    </font>
    <font>
      <sz val="9"/>
      <name val="Times New Roman CE"/>
      <family val="1"/>
    </font>
    <font>
      <sz val="8"/>
      <name val="Arial"/>
      <family val="2"/>
    </font>
    <font>
      <b/>
      <sz val="9"/>
      <name val="Times New Roman CE"/>
      <family val="1"/>
    </font>
    <font>
      <sz val="8"/>
      <color indexed="63"/>
      <name val="Times New Roman CE"/>
      <family val="1"/>
    </font>
    <font>
      <sz val="10"/>
      <name val="MS Sans Serif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 CE"/>
      <family val="1"/>
    </font>
    <font>
      <sz val="8"/>
      <color indexed="9"/>
      <name val="Times New Roman CE"/>
      <family val="1"/>
    </font>
    <font>
      <b/>
      <sz val="8"/>
      <color indexed="9"/>
      <name val="Times New Roman CE"/>
      <family val="1"/>
    </font>
    <font>
      <i/>
      <sz val="8"/>
      <name val="Times New Roman CE"/>
      <family val="1"/>
    </font>
    <font>
      <sz val="6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7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9"/>
      <name val="Times New Roman"/>
      <family val="1"/>
    </font>
    <font>
      <u val="single"/>
      <sz val="9"/>
      <name val="Tahoma"/>
      <family val="2"/>
    </font>
    <font>
      <b/>
      <u val="single"/>
      <sz val="9"/>
      <name val="Tahoma"/>
      <family val="2"/>
    </font>
    <font>
      <sz val="9"/>
      <name val="Arial CE"/>
      <family val="0"/>
    </font>
    <font>
      <sz val="9"/>
      <name val="Helvetica Neue"/>
      <family val="0"/>
    </font>
    <font>
      <u val="single"/>
      <sz val="9"/>
      <name val="Arial CE"/>
      <family val="0"/>
    </font>
    <font>
      <sz val="6"/>
      <color indexed="8"/>
      <name val="Tahoma"/>
      <family val="0"/>
    </font>
    <font>
      <sz val="8"/>
      <color indexed="8"/>
      <name val="Tahoma"/>
      <family val="0"/>
    </font>
    <font>
      <b/>
      <sz val="7"/>
      <color indexed="8"/>
      <name val="Tahoma"/>
      <family val="0"/>
    </font>
    <font>
      <sz val="6"/>
      <color indexed="8"/>
      <name val="Arial CE"/>
      <family val="0"/>
    </font>
    <font>
      <b/>
      <sz val="6"/>
      <color indexed="8"/>
      <name val="Arial CE"/>
      <family val="0"/>
    </font>
    <font>
      <sz val="7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Tahoma"/>
      <family val="0"/>
    </font>
    <font>
      <sz val="10"/>
      <color indexed="8"/>
      <name val="Bookman Old Styl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1526">
    <xf numFmtId="0" fontId="0" fillId="0" borderId="0" xfId="0" applyAlignment="1">
      <alignment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shrinkToFit="1"/>
    </xf>
    <xf numFmtId="3" fontId="10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>
      <alignment vertical="center" shrinkToFit="1"/>
    </xf>
    <xf numFmtId="3" fontId="9" fillId="0" borderId="0" xfId="0" applyNumberFormat="1" applyFont="1" applyFill="1" applyAlignment="1">
      <alignment vertical="center" shrinkToFit="1"/>
    </xf>
    <xf numFmtId="3" fontId="11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 shrinkToFit="1"/>
    </xf>
    <xf numFmtId="0" fontId="20" fillId="0" borderId="0" xfId="0" applyFont="1" applyFill="1" applyBorder="1" applyAlignment="1">
      <alignment horizontal="justify" vertical="center" shrinkToFit="1"/>
    </xf>
    <xf numFmtId="0" fontId="21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22" fillId="22" borderId="17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3" fontId="7" fillId="0" borderId="0" xfId="0" applyNumberFormat="1" applyFont="1" applyFill="1" applyAlignment="1">
      <alignment shrinkToFit="1"/>
    </xf>
    <xf numFmtId="3" fontId="16" fillId="0" borderId="0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3" fontId="7" fillId="0" borderId="0" xfId="0" applyNumberFormat="1" applyFont="1" applyFill="1" applyAlignment="1">
      <alignment vertical="center"/>
    </xf>
    <xf numFmtId="0" fontId="7" fillId="0" borderId="19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0" fontId="7" fillId="22" borderId="25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3" fontId="27" fillId="0" borderId="0" xfId="0" applyNumberFormat="1" applyFont="1" applyFill="1" applyAlignment="1">
      <alignment vertical="center"/>
    </xf>
    <xf numFmtId="3" fontId="28" fillId="0" borderId="27" xfId="0" applyNumberFormat="1" applyFont="1" applyFill="1" applyBorder="1" applyAlignment="1">
      <alignment vertical="center"/>
    </xf>
    <xf numFmtId="3" fontId="28" fillId="0" borderId="28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horizontal="left" vertical="center" indent="1"/>
    </xf>
    <xf numFmtId="49" fontId="27" fillId="0" borderId="16" xfId="0" applyNumberFormat="1" applyFont="1" applyFill="1" applyBorder="1" applyAlignment="1">
      <alignment horizontal="center" shrinkToFit="1"/>
    </xf>
    <xf numFmtId="3" fontId="27" fillId="0" borderId="16" xfId="0" applyNumberFormat="1" applyFont="1" applyFill="1" applyBorder="1" applyAlignment="1">
      <alignment horizontal="left" vertical="center" indent="1"/>
    </xf>
    <xf numFmtId="49" fontId="28" fillId="0" borderId="23" xfId="0" applyNumberFormat="1" applyFont="1" applyFill="1" applyBorder="1" applyAlignment="1">
      <alignment horizontal="center" shrinkToFit="1"/>
    </xf>
    <xf numFmtId="49" fontId="28" fillId="0" borderId="16" xfId="0" applyNumberFormat="1" applyFont="1" applyFill="1" applyBorder="1" applyAlignment="1">
      <alignment horizontal="center" shrinkToFit="1"/>
    </xf>
    <xf numFmtId="49" fontId="28" fillId="0" borderId="19" xfId="0" applyNumberFormat="1" applyFont="1" applyFill="1" applyBorder="1" applyAlignment="1">
      <alignment horizontal="center" shrinkToFit="1"/>
    </xf>
    <xf numFmtId="3" fontId="28" fillId="0" borderId="30" xfId="0" applyNumberFormat="1" applyFont="1" applyFill="1" applyBorder="1" applyAlignment="1">
      <alignment vertical="center"/>
    </xf>
    <xf numFmtId="3" fontId="27" fillId="0" borderId="31" xfId="0" applyNumberFormat="1" applyFont="1" applyFill="1" applyBorder="1" applyAlignment="1">
      <alignment horizontal="left" vertical="center" indent="1"/>
    </xf>
    <xf numFmtId="3" fontId="27" fillId="0" borderId="32" xfId="0" applyNumberFormat="1" applyFont="1" applyFill="1" applyBorder="1" applyAlignment="1">
      <alignment horizontal="left" vertical="center" indent="1"/>
    </xf>
    <xf numFmtId="49" fontId="27" fillId="0" borderId="33" xfId="0" applyNumberFormat="1" applyFont="1" applyFill="1" applyBorder="1" applyAlignment="1">
      <alignment horizontal="center" shrinkToFit="1"/>
    </xf>
    <xf numFmtId="3" fontId="28" fillId="0" borderId="19" xfId="0" applyNumberFormat="1" applyFont="1" applyFill="1" applyBorder="1" applyAlignment="1">
      <alignment vertical="center"/>
    </xf>
    <xf numFmtId="49" fontId="27" fillId="0" borderId="23" xfId="0" applyNumberFormat="1" applyFont="1" applyFill="1" applyBorder="1" applyAlignment="1">
      <alignment horizontal="center" shrinkToFit="1"/>
    </xf>
    <xf numFmtId="3" fontId="27" fillId="0" borderId="28" xfId="0" applyNumberFormat="1" applyFont="1" applyFill="1" applyBorder="1" applyAlignment="1">
      <alignment horizontal="left" vertical="center" indent="1"/>
    </xf>
    <xf numFmtId="3" fontId="27" fillId="0" borderId="34" xfId="0" applyNumberFormat="1" applyFont="1" applyFill="1" applyBorder="1" applyAlignment="1">
      <alignment horizontal="left" vertical="center" indent="1"/>
    </xf>
    <xf numFmtId="3" fontId="27" fillId="0" borderId="23" xfId="0" applyNumberFormat="1" applyFont="1" applyFill="1" applyBorder="1" applyAlignment="1">
      <alignment horizontal="left" vertical="center" indent="1"/>
    </xf>
    <xf numFmtId="49" fontId="27" fillId="0" borderId="19" xfId="0" applyNumberFormat="1" applyFont="1" applyFill="1" applyBorder="1" applyAlignment="1">
      <alignment horizontal="center" shrinkToFit="1"/>
    </xf>
    <xf numFmtId="3" fontId="27" fillId="0" borderId="35" xfId="0" applyNumberFormat="1" applyFont="1" applyFill="1" applyBorder="1" applyAlignment="1">
      <alignment horizontal="left" vertical="center" indent="1"/>
    </xf>
    <xf numFmtId="49" fontId="27" fillId="0" borderId="16" xfId="0" applyNumberFormat="1" applyFont="1" applyFill="1" applyBorder="1" applyAlignment="1">
      <alignment horizontal="left" shrinkToFit="1"/>
    </xf>
    <xf numFmtId="49" fontId="28" fillId="0" borderId="33" xfId="0" applyNumberFormat="1" applyFont="1" applyFill="1" applyBorder="1" applyAlignment="1">
      <alignment horizontal="center" shrinkToFit="1"/>
    </xf>
    <xf numFmtId="3" fontId="28" fillId="0" borderId="36" xfId="0" applyNumberFormat="1" applyFont="1" applyFill="1" applyBorder="1" applyAlignment="1">
      <alignment vertical="center"/>
    </xf>
    <xf numFmtId="3" fontId="28" fillId="0" borderId="30" xfId="0" applyNumberFormat="1" applyFont="1" applyFill="1" applyBorder="1" applyAlignment="1">
      <alignment vertical="center" shrinkToFit="1"/>
    </xf>
    <xf numFmtId="3" fontId="27" fillId="0" borderId="37" xfId="0" applyNumberFormat="1" applyFont="1" applyFill="1" applyBorder="1" applyAlignment="1">
      <alignment horizontal="left" vertical="center" indent="1"/>
    </xf>
    <xf numFmtId="3" fontId="27" fillId="0" borderId="26" xfId="0" applyNumberFormat="1" applyFont="1" applyFill="1" applyBorder="1" applyAlignment="1">
      <alignment horizontal="left" vertical="center" indent="1"/>
    </xf>
    <xf numFmtId="3" fontId="28" fillId="0" borderId="38" xfId="0" applyNumberFormat="1" applyFont="1" applyFill="1" applyBorder="1" applyAlignment="1">
      <alignment vertical="center"/>
    </xf>
    <xf numFmtId="3" fontId="27" fillId="0" borderId="39" xfId="0" applyNumberFormat="1" applyFont="1" applyFill="1" applyBorder="1" applyAlignment="1">
      <alignment horizontal="left" vertical="center" indent="1"/>
    </xf>
    <xf numFmtId="49" fontId="27" fillId="0" borderId="16" xfId="0" applyNumberFormat="1" applyFont="1" applyFill="1" applyBorder="1" applyAlignment="1">
      <alignment horizontal="left" wrapText="1" shrinkToFit="1"/>
    </xf>
    <xf numFmtId="49" fontId="27" fillId="0" borderId="35" xfId="0" applyNumberFormat="1" applyFont="1" applyFill="1" applyBorder="1" applyAlignment="1">
      <alignment horizontal="left" indent="1"/>
    </xf>
    <xf numFmtId="49" fontId="27" fillId="0" borderId="40" xfId="0" applyNumberFormat="1" applyFont="1" applyFill="1" applyBorder="1" applyAlignment="1">
      <alignment horizontal="left" indent="1"/>
    </xf>
    <xf numFmtId="49" fontId="27" fillId="0" borderId="32" xfId="0" applyNumberFormat="1" applyFont="1" applyFill="1" applyBorder="1" applyAlignment="1">
      <alignment horizontal="left" indent="1"/>
    </xf>
    <xf numFmtId="49" fontId="27" fillId="0" borderId="34" xfId="0" applyNumberFormat="1" applyFont="1" applyFill="1" applyBorder="1" applyAlignment="1">
      <alignment horizontal="left" indent="1"/>
    </xf>
    <xf numFmtId="49" fontId="28" fillId="0" borderId="41" xfId="0" applyNumberFormat="1" applyFont="1" applyFill="1" applyBorder="1" applyAlignment="1">
      <alignment horizontal="center" shrinkToFit="1"/>
    </xf>
    <xf numFmtId="49" fontId="28" fillId="0" borderId="42" xfId="0" applyNumberFormat="1" applyFont="1" applyFill="1" applyBorder="1" applyAlignment="1">
      <alignment horizontal="center" shrinkToFit="1"/>
    </xf>
    <xf numFmtId="3" fontId="28" fillId="0" borderId="43" xfId="0" applyNumberFormat="1" applyFont="1" applyFill="1" applyBorder="1" applyAlignment="1">
      <alignment vertical="center"/>
    </xf>
    <xf numFmtId="49" fontId="28" fillId="0" borderId="44" xfId="0" applyNumberFormat="1" applyFont="1" applyFill="1" applyBorder="1" applyAlignment="1">
      <alignment horizontal="center" shrinkToFit="1"/>
    </xf>
    <xf numFmtId="49" fontId="28" fillId="0" borderId="45" xfId="0" applyNumberFormat="1" applyFont="1" applyFill="1" applyBorder="1" applyAlignment="1">
      <alignment horizontal="center" shrinkToFit="1"/>
    </xf>
    <xf numFmtId="49" fontId="28" fillId="0" borderId="46" xfId="0" applyNumberFormat="1" applyFont="1" applyFill="1" applyBorder="1" applyAlignment="1">
      <alignment horizontal="center" shrinkToFit="1"/>
    </xf>
    <xf numFmtId="3" fontId="28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center" vertical="center"/>
    </xf>
    <xf numFmtId="3" fontId="28" fillId="0" borderId="27" xfId="0" applyNumberFormat="1" applyFont="1" applyFill="1" applyBorder="1" applyAlignment="1">
      <alignment horizontal="center" vertical="center"/>
    </xf>
    <xf numFmtId="3" fontId="28" fillId="0" borderId="48" xfId="0" applyNumberFormat="1" applyFont="1" applyFill="1" applyBorder="1" applyAlignment="1">
      <alignment horizontal="center" vertical="center"/>
    </xf>
    <xf numFmtId="3" fontId="28" fillId="0" borderId="49" xfId="0" applyNumberFormat="1" applyFont="1" applyFill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center" vertical="center"/>
    </xf>
    <xf numFmtId="3" fontId="28" fillId="0" borderId="50" xfId="0" applyNumberFormat="1" applyFont="1" applyFill="1" applyBorder="1" applyAlignment="1">
      <alignment horizontal="center" vertical="center"/>
    </xf>
    <xf numFmtId="3" fontId="28" fillId="0" borderId="51" xfId="0" applyNumberFormat="1" applyFont="1" applyFill="1" applyBorder="1" applyAlignment="1">
      <alignment horizontal="center" vertical="center"/>
    </xf>
    <xf numFmtId="3" fontId="28" fillId="0" borderId="29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7" fillId="0" borderId="19" xfId="0" applyNumberFormat="1" applyFont="1" applyFill="1" applyBorder="1" applyAlignment="1">
      <alignment horizontal="right" vertical="center"/>
    </xf>
    <xf numFmtId="3" fontId="27" fillId="0" borderId="21" xfId="0" applyNumberFormat="1" applyFont="1" applyFill="1" applyBorder="1" applyAlignment="1">
      <alignment horizontal="right" vertical="center"/>
    </xf>
    <xf numFmtId="3" fontId="27" fillId="0" borderId="36" xfId="0" applyNumberFormat="1" applyFont="1" applyFill="1" applyBorder="1" applyAlignment="1">
      <alignment horizontal="right" vertical="center"/>
    </xf>
    <xf numFmtId="165" fontId="28" fillId="0" borderId="21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 horizontal="right" vertical="center"/>
    </xf>
    <xf numFmtId="3" fontId="27" fillId="0" borderId="41" xfId="0" applyNumberFormat="1" applyFont="1" applyFill="1" applyBorder="1" applyAlignment="1">
      <alignment horizontal="right" vertical="center"/>
    </xf>
    <xf numFmtId="165" fontId="28" fillId="0" borderId="22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right" vertical="center"/>
    </xf>
    <xf numFmtId="3" fontId="27" fillId="0" borderId="42" xfId="0" applyNumberFormat="1" applyFont="1" applyFill="1" applyBorder="1" applyAlignment="1">
      <alignment horizontal="right" vertical="center"/>
    </xf>
    <xf numFmtId="3" fontId="28" fillId="0" borderId="11" xfId="0" applyNumberFormat="1" applyFont="1" applyFill="1" applyBorder="1" applyAlignment="1">
      <alignment horizontal="right" vertical="center"/>
    </xf>
    <xf numFmtId="3" fontId="28" fillId="0" borderId="12" xfId="0" applyNumberFormat="1" applyFont="1" applyFill="1" applyBorder="1" applyAlignment="1">
      <alignment horizontal="right" vertical="center"/>
    </xf>
    <xf numFmtId="3" fontId="28" fillId="0" borderId="54" xfId="0" applyNumberFormat="1" applyFont="1" applyFill="1" applyBorder="1" applyAlignment="1">
      <alignment horizontal="right" vertical="center"/>
    </xf>
    <xf numFmtId="164" fontId="28" fillId="0" borderId="12" xfId="0" applyNumberFormat="1" applyFont="1" applyFill="1" applyBorder="1" applyAlignment="1">
      <alignment horizontal="center" vertical="center"/>
    </xf>
    <xf numFmtId="3" fontId="28" fillId="0" borderId="27" xfId="0" applyNumberFormat="1" applyFont="1" applyFill="1" applyBorder="1" applyAlignment="1">
      <alignment horizontal="right" vertical="center"/>
    </xf>
    <xf numFmtId="3" fontId="28" fillId="0" borderId="48" xfId="0" applyNumberFormat="1" applyFont="1" applyFill="1" applyBorder="1" applyAlignment="1">
      <alignment horizontal="right" vertical="center"/>
    </xf>
    <xf numFmtId="3" fontId="28" fillId="0" borderId="49" xfId="0" applyNumberFormat="1" applyFont="1" applyFill="1" applyBorder="1" applyAlignment="1">
      <alignment horizontal="right" vertical="center"/>
    </xf>
    <xf numFmtId="164" fontId="28" fillId="0" borderId="48" xfId="0" applyNumberFormat="1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right" vertical="center"/>
    </xf>
    <xf numFmtId="3" fontId="28" fillId="0" borderId="22" xfId="0" applyNumberFormat="1" applyFont="1" applyFill="1" applyBorder="1" applyAlignment="1">
      <alignment horizontal="right" vertical="center"/>
    </xf>
    <xf numFmtId="3" fontId="28" fillId="0" borderId="41" xfId="0" applyNumberFormat="1" applyFont="1" applyFill="1" applyBorder="1" applyAlignment="1">
      <alignment horizontal="right" vertical="center"/>
    </xf>
    <xf numFmtId="164" fontId="28" fillId="0" borderId="22" xfId="0" applyNumberFormat="1" applyFont="1" applyFill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right" vertical="center"/>
    </xf>
    <xf numFmtId="3" fontId="28" fillId="0" borderId="50" xfId="0" applyNumberFormat="1" applyFont="1" applyFill="1" applyBorder="1" applyAlignment="1">
      <alignment horizontal="right" vertical="center"/>
    </xf>
    <xf numFmtId="3" fontId="28" fillId="0" borderId="51" xfId="0" applyNumberFormat="1" applyFont="1" applyFill="1" applyBorder="1" applyAlignment="1">
      <alignment horizontal="right" vertical="center"/>
    </xf>
    <xf numFmtId="3" fontId="28" fillId="0" borderId="29" xfId="0" applyNumberFormat="1" applyFont="1" applyFill="1" applyBorder="1" applyAlignment="1">
      <alignment horizontal="right" vertical="center"/>
    </xf>
    <xf numFmtId="164" fontId="28" fillId="0" borderId="50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right" vertical="center"/>
    </xf>
    <xf numFmtId="3" fontId="28" fillId="0" borderId="55" xfId="0" applyNumberFormat="1" applyFont="1" applyFill="1" applyBorder="1" applyAlignment="1">
      <alignment horizontal="right" vertical="center"/>
    </xf>
    <xf numFmtId="3" fontId="28" fillId="0" borderId="43" xfId="0" applyNumberFormat="1" applyFont="1" applyFill="1" applyBorder="1" applyAlignment="1">
      <alignment horizontal="right" vertical="center"/>
    </xf>
    <xf numFmtId="165" fontId="28" fillId="0" borderId="55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right" vertical="center"/>
    </xf>
    <xf numFmtId="165" fontId="28" fillId="0" borderId="50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right" vertical="center"/>
    </xf>
    <xf numFmtId="3" fontId="27" fillId="0" borderId="28" xfId="0" applyNumberFormat="1" applyFont="1" applyFill="1" applyBorder="1" applyAlignment="1">
      <alignment horizontal="right" vertical="center"/>
    </xf>
    <xf numFmtId="3" fontId="27" fillId="0" borderId="50" xfId="0" applyNumberFormat="1" applyFont="1" applyFill="1" applyBorder="1" applyAlignment="1">
      <alignment horizontal="right" vertical="center"/>
    </xf>
    <xf numFmtId="3" fontId="27" fillId="0" borderId="51" xfId="0" applyNumberFormat="1" applyFont="1" applyFill="1" applyBorder="1" applyAlignment="1">
      <alignment horizontal="right" vertical="center"/>
    </xf>
    <xf numFmtId="3" fontId="27" fillId="0" borderId="22" xfId="0" applyNumberFormat="1" applyFont="1" applyFill="1" applyBorder="1" applyAlignment="1">
      <alignment horizontal="right" vertical="center"/>
    </xf>
    <xf numFmtId="3" fontId="27" fillId="0" borderId="33" xfId="0" applyNumberFormat="1" applyFont="1" applyFill="1" applyBorder="1" applyAlignment="1">
      <alignment horizontal="right" vertical="center"/>
    </xf>
    <xf numFmtId="3" fontId="27" fillId="0" borderId="56" xfId="0" applyNumberFormat="1" applyFont="1" applyFill="1" applyBorder="1" applyAlignment="1">
      <alignment horizontal="right" vertical="center"/>
    </xf>
    <xf numFmtId="3" fontId="27" fillId="0" borderId="44" xfId="0" applyNumberFormat="1" applyFont="1" applyFill="1" applyBorder="1" applyAlignment="1">
      <alignment horizontal="right" vertical="center"/>
    </xf>
    <xf numFmtId="165" fontId="28" fillId="0" borderId="56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right" vertical="center"/>
    </xf>
    <xf numFmtId="3" fontId="28" fillId="0" borderId="36" xfId="0" applyNumberFormat="1" applyFont="1" applyFill="1" applyBorder="1" applyAlignment="1">
      <alignment horizontal="right" vertical="center"/>
    </xf>
    <xf numFmtId="3" fontId="28" fillId="0" borderId="23" xfId="0" applyNumberFormat="1" applyFont="1" applyFill="1" applyBorder="1" applyAlignment="1">
      <alignment horizontal="right" vertical="center"/>
    </xf>
    <xf numFmtId="3" fontId="28" fillId="0" borderId="24" xfId="0" applyNumberFormat="1" applyFont="1" applyFill="1" applyBorder="1" applyAlignment="1">
      <alignment horizontal="right" vertical="center"/>
    </xf>
    <xf numFmtId="165" fontId="28" fillId="0" borderId="24" xfId="0" applyNumberFormat="1" applyFont="1" applyFill="1" applyBorder="1" applyAlignment="1">
      <alignment horizontal="center" vertical="center"/>
    </xf>
    <xf numFmtId="3" fontId="28" fillId="0" borderId="33" xfId="0" applyNumberFormat="1" applyFont="1" applyFill="1" applyBorder="1" applyAlignment="1">
      <alignment horizontal="right" vertical="center"/>
    </xf>
    <xf numFmtId="165" fontId="27" fillId="0" borderId="22" xfId="0" applyNumberFormat="1" applyFont="1" applyFill="1" applyBorder="1" applyAlignment="1">
      <alignment horizontal="center" vertical="center"/>
    </xf>
    <xf numFmtId="3" fontId="27" fillId="0" borderId="24" xfId="0" applyNumberFormat="1" applyFont="1" applyFill="1" applyBorder="1" applyAlignment="1">
      <alignment horizontal="right" vertical="center"/>
    </xf>
    <xf numFmtId="165" fontId="27" fillId="0" borderId="24" xfId="0" applyNumberFormat="1" applyFont="1" applyFill="1" applyBorder="1" applyAlignment="1">
      <alignment horizontal="center" vertical="center"/>
    </xf>
    <xf numFmtId="165" fontId="27" fillId="0" borderId="56" xfId="0" applyNumberFormat="1" applyFont="1" applyFill="1" applyBorder="1" applyAlignment="1">
      <alignment horizontal="center" vertical="center"/>
    </xf>
    <xf numFmtId="164" fontId="28" fillId="0" borderId="22" xfId="0" applyNumberFormat="1" applyFont="1" applyFill="1" applyBorder="1" applyAlignment="1">
      <alignment horizontal="right" vertical="center"/>
    </xf>
    <xf numFmtId="3" fontId="27" fillId="0" borderId="57" xfId="0" applyNumberFormat="1" applyFont="1" applyFill="1" applyBorder="1" applyAlignment="1">
      <alignment horizontal="right" vertical="center"/>
    </xf>
    <xf numFmtId="3" fontId="27" fillId="0" borderId="35" xfId="0" applyNumberFormat="1" applyFont="1" applyFill="1" applyBorder="1" applyAlignment="1">
      <alignment horizontal="right" vertical="center"/>
    </xf>
    <xf numFmtId="3" fontId="28" fillId="0" borderId="56" xfId="0" applyNumberFormat="1" applyFont="1" applyFill="1" applyBorder="1" applyAlignment="1">
      <alignment horizontal="right" vertical="center"/>
    </xf>
    <xf numFmtId="3" fontId="28" fillId="0" borderId="44" xfId="0" applyNumberFormat="1" applyFont="1" applyFill="1" applyBorder="1" applyAlignment="1">
      <alignment horizontal="right" vertical="center"/>
    </xf>
    <xf numFmtId="164" fontId="28" fillId="0" borderId="21" xfId="0" applyNumberFormat="1" applyFont="1" applyFill="1" applyBorder="1" applyAlignment="1">
      <alignment horizontal="center" vertical="center"/>
    </xf>
    <xf numFmtId="164" fontId="28" fillId="0" borderId="56" xfId="0" applyNumberFormat="1" applyFont="1" applyFill="1" applyBorder="1" applyAlignment="1">
      <alignment horizontal="center" vertical="center"/>
    </xf>
    <xf numFmtId="3" fontId="27" fillId="0" borderId="33" xfId="0" applyNumberFormat="1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horizontal="right" vertical="center"/>
    </xf>
    <xf numFmtId="3" fontId="28" fillId="0" borderId="55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vertical="center"/>
    </xf>
    <xf numFmtId="3" fontId="28" fillId="0" borderId="22" xfId="0" applyNumberFormat="1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vertical="center"/>
    </xf>
    <xf numFmtId="3" fontId="27" fillId="0" borderId="41" xfId="0" applyNumberFormat="1" applyFont="1" applyFill="1" applyBorder="1" applyAlignment="1">
      <alignment vertical="center"/>
    </xf>
    <xf numFmtId="3" fontId="27" fillId="0" borderId="23" xfId="0" applyNumberFormat="1" applyFont="1" applyFill="1" applyBorder="1" applyAlignment="1">
      <alignment vertical="center"/>
    </xf>
    <xf numFmtId="3" fontId="28" fillId="0" borderId="23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164" fontId="28" fillId="0" borderId="24" xfId="0" applyNumberFormat="1" applyFont="1" applyFill="1" applyBorder="1" applyAlignment="1">
      <alignment horizontal="center" vertical="center"/>
    </xf>
    <xf numFmtId="164" fontId="28" fillId="0" borderId="55" xfId="0" applyNumberFormat="1" applyFont="1" applyFill="1" applyBorder="1" applyAlignment="1">
      <alignment horizontal="center" vertical="center"/>
    </xf>
    <xf numFmtId="165" fontId="28" fillId="0" borderId="16" xfId="0" applyNumberFormat="1" applyFont="1" applyFill="1" applyBorder="1" applyAlignment="1">
      <alignment horizontal="center" vertical="center"/>
    </xf>
    <xf numFmtId="165" fontId="28" fillId="0" borderId="23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right" vertical="center"/>
    </xf>
    <xf numFmtId="3" fontId="28" fillId="0" borderId="53" xfId="0" applyNumberFormat="1" applyFont="1" applyFill="1" applyBorder="1" applyAlignment="1">
      <alignment horizontal="right" vertical="center"/>
    </xf>
    <xf numFmtId="165" fontId="28" fillId="0" borderId="52" xfId="0" applyNumberFormat="1" applyFont="1" applyFill="1" applyBorder="1" applyAlignment="1">
      <alignment horizontal="center" vertical="center"/>
    </xf>
    <xf numFmtId="3" fontId="28" fillId="0" borderId="58" xfId="0" applyNumberFormat="1" applyFont="1" applyFill="1" applyBorder="1" applyAlignment="1">
      <alignment horizontal="right" vertical="center"/>
    </xf>
    <xf numFmtId="3" fontId="28" fillId="0" borderId="59" xfId="0" applyNumberFormat="1" applyFont="1" applyFill="1" applyBorder="1" applyAlignment="1">
      <alignment horizontal="right" vertical="center"/>
    </xf>
    <xf numFmtId="3" fontId="28" fillId="0" borderId="60" xfId="0" applyNumberFormat="1" applyFont="1" applyFill="1" applyBorder="1" applyAlignment="1">
      <alignment horizontal="right" vertical="center"/>
    </xf>
    <xf numFmtId="164" fontId="28" fillId="0" borderId="59" xfId="0" applyNumberFormat="1" applyFont="1" applyFill="1" applyBorder="1" applyAlignment="1">
      <alignment horizontal="right" vertical="center"/>
    </xf>
    <xf numFmtId="3" fontId="28" fillId="0" borderId="61" xfId="0" applyNumberFormat="1" applyFont="1" applyFill="1" applyBorder="1" applyAlignment="1">
      <alignment horizontal="right" vertical="center"/>
    </xf>
    <xf numFmtId="3" fontId="28" fillId="0" borderId="62" xfId="0" applyNumberFormat="1" applyFont="1" applyFill="1" applyBorder="1" applyAlignment="1">
      <alignment horizontal="right" vertical="center"/>
    </xf>
    <xf numFmtId="164" fontId="28" fillId="0" borderId="62" xfId="0" applyNumberFormat="1" applyFont="1" applyFill="1" applyBorder="1" applyAlignment="1">
      <alignment horizontal="right" vertical="center"/>
    </xf>
    <xf numFmtId="3" fontId="28" fillId="0" borderId="63" xfId="0" applyNumberFormat="1" applyFont="1" applyFill="1" applyBorder="1" applyAlignment="1">
      <alignment horizontal="right" vertical="center"/>
    </xf>
    <xf numFmtId="3" fontId="28" fillId="0" borderId="46" xfId="0" applyNumberFormat="1" applyFont="1" applyFill="1" applyBorder="1" applyAlignment="1">
      <alignment horizontal="right" vertical="center"/>
    </xf>
    <xf numFmtId="164" fontId="28" fillId="0" borderId="63" xfId="0" applyNumberFormat="1" applyFont="1" applyFill="1" applyBorder="1" applyAlignment="1">
      <alignment horizontal="right" vertical="center"/>
    </xf>
    <xf numFmtId="3" fontId="28" fillId="0" borderId="64" xfId="0" applyNumberFormat="1" applyFont="1" applyFill="1" applyBorder="1" applyAlignment="1">
      <alignment horizontal="right" vertical="center"/>
    </xf>
    <xf numFmtId="3" fontId="28" fillId="0" borderId="65" xfId="0" applyNumberFormat="1" applyFont="1" applyFill="1" applyBorder="1" applyAlignment="1">
      <alignment horizontal="right" vertical="center"/>
    </xf>
    <xf numFmtId="3" fontId="28" fillId="0" borderId="66" xfId="0" applyNumberFormat="1" applyFont="1" applyFill="1" applyBorder="1" applyAlignment="1">
      <alignment horizontal="right" vertical="center"/>
    </xf>
    <xf numFmtId="164" fontId="28" fillId="0" borderId="55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shrinkToFit="1"/>
    </xf>
    <xf numFmtId="49" fontId="27" fillId="0" borderId="34" xfId="0" applyNumberFormat="1" applyFont="1" applyFill="1" applyBorder="1" applyAlignment="1">
      <alignment horizontal="justify" vertical="center" shrinkToFit="1"/>
    </xf>
    <xf numFmtId="49" fontId="27" fillId="0" borderId="28" xfId="0" applyNumberFormat="1" applyFont="1" applyFill="1" applyBorder="1" applyAlignment="1">
      <alignment horizontal="justify" vertical="center" shrinkToFit="1"/>
    </xf>
    <xf numFmtId="49" fontId="27" fillId="0" borderId="32" xfId="0" applyNumberFormat="1" applyFont="1" applyFill="1" applyBorder="1" applyAlignment="1">
      <alignment horizontal="justify" vertical="center" shrinkToFit="1"/>
    </xf>
    <xf numFmtId="49" fontId="27" fillId="0" borderId="34" xfId="0" applyNumberFormat="1" applyFont="1" applyFill="1" applyBorder="1" applyAlignment="1">
      <alignment vertical="center" shrinkToFit="1"/>
    </xf>
    <xf numFmtId="0" fontId="46" fillId="0" borderId="34" xfId="0" applyFont="1" applyFill="1" applyBorder="1" applyAlignment="1">
      <alignment horizontal="justify" vertical="center" shrinkToFit="1"/>
    </xf>
    <xf numFmtId="0" fontId="46" fillId="0" borderId="28" xfId="0" applyFont="1" applyFill="1" applyBorder="1" applyAlignment="1">
      <alignment horizontal="justify" vertical="center" shrinkToFit="1"/>
    </xf>
    <xf numFmtId="49" fontId="27" fillId="0" borderId="32" xfId="0" applyNumberFormat="1" applyFont="1" applyFill="1" applyBorder="1" applyAlignment="1">
      <alignment vertical="center" shrinkToFit="1"/>
    </xf>
    <xf numFmtId="49" fontId="28" fillId="0" borderId="28" xfId="0" applyNumberFormat="1" applyFont="1" applyFill="1" applyBorder="1" applyAlignment="1">
      <alignment horizontal="justify" vertical="center" shrinkToFit="1"/>
    </xf>
    <xf numFmtId="49" fontId="27" fillId="0" borderId="28" xfId="0" applyNumberFormat="1" applyFont="1" applyFill="1" applyBorder="1" applyAlignment="1">
      <alignment vertical="center" shrinkToFit="1"/>
    </xf>
    <xf numFmtId="49" fontId="28" fillId="0" borderId="28" xfId="0" applyNumberFormat="1" applyFont="1" applyFill="1" applyBorder="1" applyAlignment="1">
      <alignment vertical="center" shrinkToFit="1"/>
    </xf>
    <xf numFmtId="3" fontId="28" fillId="0" borderId="50" xfId="0" applyNumberFormat="1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7" fillId="0" borderId="49" xfId="0" applyFont="1" applyFill="1" applyBorder="1" applyAlignment="1">
      <alignment horizontal="center" vertical="center" shrinkToFit="1"/>
    </xf>
    <xf numFmtId="49" fontId="27" fillId="0" borderId="51" xfId="0" applyNumberFormat="1" applyFont="1" applyFill="1" applyBorder="1" applyAlignment="1">
      <alignment horizontal="left" vertical="center" indent="1" shrinkToFit="1"/>
    </xf>
    <xf numFmtId="49" fontId="47" fillId="0" borderId="28" xfId="0" applyNumberFormat="1" applyFont="1" applyFill="1" applyBorder="1" applyAlignment="1">
      <alignment vertical="center" shrinkToFit="1"/>
    </xf>
    <xf numFmtId="3" fontId="27" fillId="0" borderId="34" xfId="0" applyNumberFormat="1" applyFont="1" applyFill="1" applyBorder="1" applyAlignment="1">
      <alignment vertical="center"/>
    </xf>
    <xf numFmtId="0" fontId="27" fillId="0" borderId="67" xfId="0" applyFont="1" applyBorder="1" applyAlignment="1">
      <alignment horizontal="left" vertical="center" shrinkToFit="1"/>
    </xf>
    <xf numFmtId="0" fontId="46" fillId="0" borderId="0" xfId="0" applyFont="1" applyFill="1" applyAlignment="1">
      <alignment vertical="center" shrinkToFit="1"/>
    </xf>
    <xf numFmtId="0" fontId="27" fillId="0" borderId="16" xfId="0" applyFont="1" applyFill="1" applyBorder="1" applyAlignment="1">
      <alignment shrinkToFit="1"/>
    </xf>
    <xf numFmtId="0" fontId="46" fillId="0" borderId="68" xfId="0" applyFont="1" applyFill="1" applyBorder="1" applyAlignment="1">
      <alignment vertical="center" shrinkToFit="1"/>
    </xf>
    <xf numFmtId="0" fontId="46" fillId="0" borderId="47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 shrinkToFit="1"/>
    </xf>
    <xf numFmtId="3" fontId="27" fillId="0" borderId="16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shrinkToFit="1"/>
    </xf>
    <xf numFmtId="0" fontId="27" fillId="0" borderId="0" xfId="0" applyFont="1" applyFill="1" applyAlignment="1">
      <alignment horizontal="justify" shrinkToFit="1"/>
    </xf>
    <xf numFmtId="0" fontId="28" fillId="0" borderId="0" xfId="0" applyFont="1" applyFill="1" applyAlignment="1">
      <alignment horizontal="justify" shrinkToFit="1"/>
    </xf>
    <xf numFmtId="0" fontId="28" fillId="0" borderId="0" xfId="0" applyFont="1" applyFill="1" applyAlignment="1">
      <alignment horizontal="right" shrinkToFit="1"/>
    </xf>
    <xf numFmtId="0" fontId="27" fillId="0" borderId="69" xfId="0" applyFont="1" applyFill="1" applyBorder="1" applyAlignment="1">
      <alignment shrinkToFit="1"/>
    </xf>
    <xf numFmtId="0" fontId="27" fillId="0" borderId="49" xfId="0" applyFont="1" applyFill="1" applyBorder="1" applyAlignment="1">
      <alignment shrinkToFit="1"/>
    </xf>
    <xf numFmtId="0" fontId="27" fillId="0" borderId="27" xfId="0" applyFont="1" applyFill="1" applyBorder="1" applyAlignment="1">
      <alignment horizontal="justify" shrinkToFit="1"/>
    </xf>
    <xf numFmtId="0" fontId="28" fillId="0" borderId="70" xfId="0" applyFont="1" applyFill="1" applyBorder="1" applyAlignment="1">
      <alignment horizontal="justify" shrinkToFit="1"/>
    </xf>
    <xf numFmtId="0" fontId="28" fillId="0" borderId="28" xfId="0" applyFont="1" applyFill="1" applyBorder="1" applyAlignment="1">
      <alignment horizontal="center" shrinkToFit="1"/>
    </xf>
    <xf numFmtId="0" fontId="27" fillId="0" borderId="68" xfId="0" applyFont="1" applyFill="1" applyBorder="1" applyAlignment="1">
      <alignment shrinkToFit="1"/>
    </xf>
    <xf numFmtId="0" fontId="27" fillId="0" borderId="53" xfId="0" applyFont="1" applyFill="1" applyBorder="1" applyAlignment="1">
      <alignment shrinkToFit="1"/>
    </xf>
    <xf numFmtId="0" fontId="27" fillId="0" borderId="29" xfId="0" applyFont="1" applyFill="1" applyBorder="1" applyAlignment="1">
      <alignment horizontal="justify" shrinkToFit="1"/>
    </xf>
    <xf numFmtId="0" fontId="28" fillId="0" borderId="71" xfId="0" applyFont="1" applyFill="1" applyBorder="1" applyAlignment="1">
      <alignment horizontal="justify" shrinkToFit="1"/>
    </xf>
    <xf numFmtId="0" fontId="28" fillId="0" borderId="14" xfId="0" applyFont="1" applyFill="1" applyBorder="1" applyAlignment="1">
      <alignment vertical="center" shrinkToFit="1"/>
    </xf>
    <xf numFmtId="0" fontId="28" fillId="0" borderId="16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horizontal="right" shrinkToFit="1"/>
    </xf>
    <xf numFmtId="3" fontId="27" fillId="0" borderId="16" xfId="0" applyNumberFormat="1" applyFont="1" applyFill="1" applyBorder="1" applyAlignment="1">
      <alignment horizontal="right" shrinkToFit="1"/>
    </xf>
    <xf numFmtId="3" fontId="28" fillId="0" borderId="22" xfId="0" applyNumberFormat="1" applyFont="1" applyFill="1" applyBorder="1" applyAlignment="1">
      <alignment horizontal="right" shrinkToFit="1"/>
    </xf>
    <xf numFmtId="0" fontId="28" fillId="0" borderId="14" xfId="0" applyFont="1" applyFill="1" applyBorder="1" applyAlignment="1">
      <alignment horizontal="right" shrinkToFit="1"/>
    </xf>
    <xf numFmtId="0" fontId="28" fillId="0" borderId="72" xfId="0" applyFont="1" applyFill="1" applyBorder="1" applyAlignment="1">
      <alignment vertical="center" shrinkToFit="1"/>
    </xf>
    <xf numFmtId="0" fontId="28" fillId="0" borderId="58" xfId="0" applyFont="1" applyFill="1" applyBorder="1" applyAlignment="1">
      <alignment horizontal="center" vertical="center" shrinkToFit="1"/>
    </xf>
    <xf numFmtId="3" fontId="28" fillId="0" borderId="58" xfId="0" applyNumberFormat="1" applyFont="1" applyFill="1" applyBorder="1" applyAlignment="1">
      <alignment horizontal="right" vertical="center" shrinkToFit="1"/>
    </xf>
    <xf numFmtId="3" fontId="28" fillId="0" borderId="59" xfId="0" applyNumberFormat="1" applyFont="1" applyFill="1" applyBorder="1" applyAlignment="1">
      <alignment horizontal="right" vertical="center" shrinkToFit="1"/>
    </xf>
    <xf numFmtId="49" fontId="28" fillId="0" borderId="73" xfId="0" applyNumberFormat="1" applyFont="1" applyFill="1" applyBorder="1" applyAlignment="1">
      <alignment horizontal="center" shrinkToFit="1"/>
    </xf>
    <xf numFmtId="3" fontId="28" fillId="0" borderId="45" xfId="0" applyNumberFormat="1" applyFont="1" applyFill="1" applyBorder="1" applyAlignment="1">
      <alignment horizontal="right" shrinkToFit="1"/>
    </xf>
    <xf numFmtId="3" fontId="28" fillId="0" borderId="62" xfId="0" applyNumberFormat="1" applyFont="1" applyFill="1" applyBorder="1" applyAlignment="1">
      <alignment horizontal="right" shrinkToFit="1"/>
    </xf>
    <xf numFmtId="3" fontId="28" fillId="0" borderId="16" xfId="0" applyNumberFormat="1" applyFont="1" applyFill="1" applyBorder="1" applyAlignment="1">
      <alignment horizontal="right" shrinkToFit="1"/>
    </xf>
    <xf numFmtId="3" fontId="28" fillId="0" borderId="33" xfId="0" applyNumberFormat="1" applyFont="1" applyFill="1" applyBorder="1" applyAlignment="1">
      <alignment horizontal="right" shrinkToFit="1"/>
    </xf>
    <xf numFmtId="3" fontId="28" fillId="0" borderId="56" xfId="0" applyNumberFormat="1" applyFont="1" applyFill="1" applyBorder="1" applyAlignment="1">
      <alignment horizontal="right" shrinkToFit="1"/>
    </xf>
    <xf numFmtId="0" fontId="28" fillId="0" borderId="18" xfId="0" applyFont="1" applyFill="1" applyBorder="1" applyAlignment="1">
      <alignment vertical="center" shrinkToFit="1"/>
    </xf>
    <xf numFmtId="0" fontId="28" fillId="0" borderId="28" xfId="0" applyFont="1" applyFill="1" applyBorder="1" applyAlignment="1">
      <alignment vertical="center" shrinkToFit="1"/>
    </xf>
    <xf numFmtId="0" fontId="27" fillId="0" borderId="28" xfId="0" applyFont="1" applyFill="1" applyBorder="1" applyAlignment="1">
      <alignment horizontal="justify" vertical="center" shrinkToFit="1"/>
    </xf>
    <xf numFmtId="0" fontId="28" fillId="0" borderId="74" xfId="0" applyFont="1" applyFill="1" applyBorder="1" applyAlignment="1">
      <alignment horizontal="justify" vertical="center" shrinkToFit="1"/>
    </xf>
    <xf numFmtId="3" fontId="27" fillId="0" borderId="28" xfId="0" applyNumberFormat="1" applyFont="1" applyFill="1" applyBorder="1" applyAlignment="1">
      <alignment horizontal="right" shrinkToFit="1"/>
    </xf>
    <xf numFmtId="0" fontId="28" fillId="0" borderId="75" xfId="0" applyFont="1" applyFill="1" applyBorder="1" applyAlignment="1">
      <alignment horizontal="right" shrinkToFit="1"/>
    </xf>
    <xf numFmtId="3" fontId="28" fillId="0" borderId="73" xfId="0" applyNumberFormat="1" applyFont="1" applyFill="1" applyBorder="1" applyAlignment="1">
      <alignment horizontal="right" vertical="center" shrinkToFit="1"/>
    </xf>
    <xf numFmtId="3" fontId="28" fillId="0" borderId="76" xfId="0" applyNumberFormat="1" applyFont="1" applyFill="1" applyBorder="1" applyAlignment="1">
      <alignment horizontal="right" vertical="center" shrinkToFit="1"/>
    </xf>
    <xf numFmtId="3" fontId="28" fillId="0" borderId="16" xfId="0" applyNumberFormat="1" applyFont="1" applyFill="1" applyBorder="1" applyAlignment="1">
      <alignment horizontal="right" vertical="center" shrinkToFit="1"/>
    </xf>
    <xf numFmtId="3" fontId="28" fillId="0" borderId="22" xfId="0" applyNumberFormat="1" applyFont="1" applyFill="1" applyBorder="1" applyAlignment="1">
      <alignment horizontal="right" vertical="center" shrinkToFit="1"/>
    </xf>
    <xf numFmtId="3" fontId="28" fillId="0" borderId="33" xfId="0" applyNumberFormat="1" applyFont="1" applyFill="1" applyBorder="1" applyAlignment="1">
      <alignment horizontal="right" vertical="center" shrinkToFit="1"/>
    </xf>
    <xf numFmtId="3" fontId="28" fillId="0" borderId="56" xfId="0" applyNumberFormat="1" applyFont="1" applyFill="1" applyBorder="1" applyAlignment="1">
      <alignment horizontal="right" vertical="center" shrinkToFit="1"/>
    </xf>
    <xf numFmtId="0" fontId="27" fillId="0" borderId="0" xfId="0" applyFont="1" applyAlignment="1">
      <alignment/>
    </xf>
    <xf numFmtId="0" fontId="28" fillId="0" borderId="18" xfId="0" applyFont="1" applyFill="1" applyBorder="1" applyAlignment="1">
      <alignment horizontal="left" vertical="center" shrinkToFit="1"/>
    </xf>
    <xf numFmtId="3" fontId="27" fillId="0" borderId="16" xfId="0" applyNumberFormat="1" applyFont="1" applyFill="1" applyBorder="1" applyAlignment="1">
      <alignment horizontal="right" vertical="center" shrinkToFit="1"/>
    </xf>
    <xf numFmtId="0" fontId="28" fillId="0" borderId="72" xfId="0" applyFont="1" applyFill="1" applyBorder="1" applyAlignment="1">
      <alignment horizontal="right" shrinkToFit="1"/>
    </xf>
    <xf numFmtId="0" fontId="28" fillId="0" borderId="58" xfId="0" applyFont="1" applyFill="1" applyBorder="1" applyAlignment="1">
      <alignment horizontal="center" shrinkToFit="1"/>
    </xf>
    <xf numFmtId="3" fontId="28" fillId="0" borderId="58" xfId="0" applyNumberFormat="1" applyFont="1" applyFill="1" applyBorder="1" applyAlignment="1">
      <alignment horizontal="right" shrinkToFit="1"/>
    </xf>
    <xf numFmtId="3" fontId="28" fillId="0" borderId="59" xfId="0" applyNumberFormat="1" applyFont="1" applyFill="1" applyBorder="1" applyAlignment="1">
      <alignment horizontal="right" shrinkToFit="1"/>
    </xf>
    <xf numFmtId="0" fontId="28" fillId="0" borderId="18" xfId="0" applyFont="1" applyFill="1" applyBorder="1" applyAlignment="1">
      <alignment horizontal="right" shrinkToFit="1"/>
    </xf>
    <xf numFmtId="3" fontId="28" fillId="0" borderId="73" xfId="0" applyNumberFormat="1" applyFont="1" applyFill="1" applyBorder="1" applyAlignment="1">
      <alignment horizontal="right" shrinkToFit="1"/>
    </xf>
    <xf numFmtId="3" fontId="28" fillId="0" borderId="76" xfId="0" applyNumberFormat="1" applyFont="1" applyFill="1" applyBorder="1" applyAlignment="1">
      <alignment horizontal="right" shrinkToFit="1"/>
    </xf>
    <xf numFmtId="49" fontId="27" fillId="0" borderId="39" xfId="0" applyNumberFormat="1" applyFont="1" applyFill="1" applyBorder="1" applyAlignment="1">
      <alignment horizontal="center" shrinkToFit="1"/>
    </xf>
    <xf numFmtId="0" fontId="28" fillId="0" borderId="14" xfId="0" applyFont="1" applyFill="1" applyBorder="1" applyAlignment="1">
      <alignment shrinkToFit="1"/>
    </xf>
    <xf numFmtId="0" fontId="28" fillId="0" borderId="77" xfId="0" applyFont="1" applyFill="1" applyBorder="1" applyAlignment="1">
      <alignment shrinkToFit="1"/>
    </xf>
    <xf numFmtId="0" fontId="27" fillId="0" borderId="18" xfId="0" applyFont="1" applyFill="1" applyBorder="1" applyAlignment="1">
      <alignment horizontal="right" shrinkToFit="1"/>
    </xf>
    <xf numFmtId="0" fontId="28" fillId="0" borderId="78" xfId="0" applyFont="1" applyFill="1" applyBorder="1" applyAlignment="1">
      <alignment vertical="center" shrinkToFit="1"/>
    </xf>
    <xf numFmtId="3" fontId="48" fillId="0" borderId="58" xfId="0" applyNumberFormat="1" applyFont="1" applyFill="1" applyBorder="1" applyAlignment="1">
      <alignment horizontal="right" shrinkToFit="1"/>
    </xf>
    <xf numFmtId="0" fontId="28" fillId="0" borderId="79" xfId="0" applyFont="1" applyFill="1" applyBorder="1" applyAlignment="1">
      <alignment horizontal="right" shrinkToFit="1"/>
    </xf>
    <xf numFmtId="49" fontId="28" fillId="0" borderId="29" xfId="0" applyNumberFormat="1" applyFont="1" applyFill="1" applyBorder="1" applyAlignment="1">
      <alignment horizontal="center" shrinkToFit="1"/>
    </xf>
    <xf numFmtId="0" fontId="28" fillId="0" borderId="80" xfId="0" applyFont="1" applyFill="1" applyBorder="1" applyAlignment="1">
      <alignment horizontal="left" vertical="center" shrinkToFit="1"/>
    </xf>
    <xf numFmtId="3" fontId="27" fillId="0" borderId="30" xfId="0" applyNumberFormat="1" applyFont="1" applyFill="1" applyBorder="1" applyAlignment="1">
      <alignment horizontal="right" vertical="center" shrinkToFit="1"/>
    </xf>
    <xf numFmtId="3" fontId="28" fillId="0" borderId="55" xfId="0" applyNumberFormat="1" applyFont="1" applyFill="1" applyBorder="1" applyAlignment="1">
      <alignment horizontal="right" vertical="center" shrinkToFit="1"/>
    </xf>
    <xf numFmtId="0" fontId="28" fillId="0" borderId="14" xfId="0" applyFont="1" applyFill="1" applyBorder="1" applyAlignment="1">
      <alignment horizontal="left" vertical="center" shrinkToFit="1"/>
    </xf>
    <xf numFmtId="0" fontId="28" fillId="0" borderId="15" xfId="0" applyFont="1" applyFill="1" applyBorder="1" applyAlignment="1">
      <alignment horizontal="left" vertical="center" shrinkToFit="1"/>
    </xf>
    <xf numFmtId="3" fontId="28" fillId="0" borderId="23" xfId="0" applyNumberFormat="1" applyFont="1" applyFill="1" applyBorder="1" applyAlignment="1">
      <alignment horizontal="right" vertical="center" shrinkToFit="1"/>
    </xf>
    <xf numFmtId="3" fontId="28" fillId="0" borderId="24" xfId="0" applyNumberFormat="1" applyFont="1" applyFill="1" applyBorder="1" applyAlignment="1">
      <alignment horizontal="right" vertical="center" shrinkToFit="1"/>
    </xf>
    <xf numFmtId="0" fontId="28" fillId="0" borderId="30" xfId="0" applyFont="1" applyFill="1" applyBorder="1" applyAlignment="1">
      <alignment horizontal="left" vertical="center" shrinkToFit="1"/>
    </xf>
    <xf numFmtId="3" fontId="27" fillId="0" borderId="30" xfId="0" applyNumberFormat="1" applyFont="1" applyFill="1" applyBorder="1" applyAlignment="1">
      <alignment horizontal="justify" vertical="center" shrinkToFit="1"/>
    </xf>
    <xf numFmtId="3" fontId="28" fillId="0" borderId="55" xfId="0" applyNumberFormat="1" applyFont="1" applyFill="1" applyBorder="1" applyAlignment="1">
      <alignment horizontal="justify" vertical="center" shrinkToFit="1"/>
    </xf>
    <xf numFmtId="0" fontId="27" fillId="0" borderId="31" xfId="0" applyFont="1" applyFill="1" applyBorder="1" applyAlignment="1">
      <alignment shrinkToFit="1"/>
    </xf>
    <xf numFmtId="0" fontId="27" fillId="0" borderId="34" xfId="0" applyFont="1" applyFill="1" applyBorder="1" applyAlignment="1">
      <alignment shrinkToFit="1"/>
    </xf>
    <xf numFmtId="0" fontId="27" fillId="0" borderId="81" xfId="0" applyFont="1" applyFill="1" applyBorder="1" applyAlignment="1">
      <alignment shrinkToFit="1"/>
    </xf>
    <xf numFmtId="49" fontId="27" fillId="0" borderId="41" xfId="0" applyNumberFormat="1" applyFont="1" applyFill="1" applyBorder="1" applyAlignment="1">
      <alignment horizontal="center" shrinkToFit="1"/>
    </xf>
    <xf numFmtId="0" fontId="46" fillId="0" borderId="82" xfId="0" applyFont="1" applyFill="1" applyBorder="1" applyAlignment="1">
      <alignment vertical="center" shrinkToFit="1"/>
    </xf>
    <xf numFmtId="0" fontId="27" fillId="0" borderId="51" xfId="0" applyFont="1" applyFill="1" applyBorder="1" applyAlignment="1">
      <alignment shrinkToFit="1"/>
    </xf>
    <xf numFmtId="3" fontId="28" fillId="0" borderId="28" xfId="0" applyNumberFormat="1" applyFont="1" applyFill="1" applyBorder="1" applyAlignment="1">
      <alignment horizontal="right" shrinkToFit="1"/>
    </xf>
    <xf numFmtId="0" fontId="28" fillId="0" borderId="83" xfId="0" applyFont="1" applyFill="1" applyBorder="1" applyAlignment="1">
      <alignment horizontal="right" shrinkToFit="1"/>
    </xf>
    <xf numFmtId="49" fontId="27" fillId="0" borderId="73" xfId="0" applyNumberFormat="1" applyFont="1" applyFill="1" applyBorder="1" applyAlignment="1">
      <alignment horizontal="center" shrinkToFit="1"/>
    </xf>
    <xf numFmtId="0" fontId="28" fillId="0" borderId="84" xfId="0" applyFont="1" applyFill="1" applyBorder="1" applyAlignment="1">
      <alignment horizontal="right" shrinkToFit="1"/>
    </xf>
    <xf numFmtId="0" fontId="28" fillId="0" borderId="79" xfId="0" applyFont="1" applyFill="1" applyBorder="1" applyAlignment="1">
      <alignment vertical="center" shrinkToFit="1"/>
    </xf>
    <xf numFmtId="3" fontId="28" fillId="0" borderId="45" xfId="0" applyNumberFormat="1" applyFont="1" applyFill="1" applyBorder="1" applyAlignment="1">
      <alignment horizontal="right" vertical="center" shrinkToFit="1"/>
    </xf>
    <xf numFmtId="0" fontId="28" fillId="0" borderId="75" xfId="0" applyFont="1" applyFill="1" applyBorder="1" applyAlignment="1">
      <alignment vertical="center" shrinkToFit="1"/>
    </xf>
    <xf numFmtId="3" fontId="28" fillId="0" borderId="28" xfId="0" applyNumberFormat="1" applyFont="1" applyFill="1" applyBorder="1" applyAlignment="1">
      <alignment horizontal="right" vertical="center" shrinkToFit="1"/>
    </xf>
    <xf numFmtId="0" fontId="28" fillId="0" borderId="85" xfId="0" applyFont="1" applyFill="1" applyBorder="1" applyAlignment="1">
      <alignment vertical="center" shrinkToFit="1"/>
    </xf>
    <xf numFmtId="0" fontId="28" fillId="0" borderId="58" xfId="0" applyFont="1" applyFill="1" applyBorder="1" applyAlignment="1">
      <alignment vertical="center" shrinkToFit="1"/>
    </xf>
    <xf numFmtId="0" fontId="28" fillId="0" borderId="86" xfId="0" applyFont="1" applyFill="1" applyBorder="1" applyAlignment="1">
      <alignment vertical="center" shrinkToFit="1"/>
    </xf>
    <xf numFmtId="3" fontId="28" fillId="0" borderId="62" xfId="0" applyNumberFormat="1" applyFont="1" applyFill="1" applyBorder="1" applyAlignment="1">
      <alignment horizontal="right" vertical="center" shrinkToFit="1"/>
    </xf>
    <xf numFmtId="0" fontId="28" fillId="0" borderId="87" xfId="0" applyFont="1" applyFill="1" applyBorder="1" applyAlignment="1">
      <alignment vertical="center" shrinkToFit="1"/>
    </xf>
    <xf numFmtId="0" fontId="28" fillId="0" borderId="85" xfId="0" applyFont="1" applyFill="1" applyBorder="1" applyAlignment="1">
      <alignment shrinkToFit="1"/>
    </xf>
    <xf numFmtId="0" fontId="28" fillId="0" borderId="88" xfId="0" applyFont="1" applyFill="1" applyBorder="1" applyAlignment="1">
      <alignment shrinkToFit="1"/>
    </xf>
    <xf numFmtId="0" fontId="27" fillId="0" borderId="58" xfId="0" applyFont="1" applyFill="1" applyBorder="1" applyAlignment="1">
      <alignment horizontal="justify" shrinkToFit="1"/>
    </xf>
    <xf numFmtId="3" fontId="28" fillId="0" borderId="58" xfId="0" applyNumberFormat="1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shrinkToFit="1"/>
    </xf>
    <xf numFmtId="3" fontId="28" fillId="0" borderId="50" xfId="0" applyNumberFormat="1" applyFont="1" applyFill="1" applyBorder="1" applyAlignment="1">
      <alignment horizontal="right" shrinkToFit="1"/>
    </xf>
    <xf numFmtId="0" fontId="28" fillId="0" borderId="0" xfId="0" applyFont="1" applyFill="1" applyBorder="1" applyAlignment="1">
      <alignment horizontal="center" shrinkToFit="1"/>
    </xf>
    <xf numFmtId="3" fontId="27" fillId="0" borderId="22" xfId="0" applyNumberFormat="1" applyFont="1" applyFill="1" applyBorder="1" applyAlignment="1">
      <alignment horizontal="right" shrinkToFit="1"/>
    </xf>
    <xf numFmtId="0" fontId="28" fillId="0" borderId="89" xfId="0" applyFont="1" applyFill="1" applyBorder="1" applyAlignment="1">
      <alignment horizontal="right" shrinkToFit="1"/>
    </xf>
    <xf numFmtId="49" fontId="28" fillId="0" borderId="28" xfId="0" applyNumberFormat="1" applyFont="1" applyFill="1" applyBorder="1" applyAlignment="1">
      <alignment horizontal="center" shrinkToFit="1"/>
    </xf>
    <xf numFmtId="0" fontId="28" fillId="0" borderId="90" xfId="0" applyFont="1" applyFill="1" applyBorder="1" applyAlignment="1">
      <alignment shrinkToFit="1"/>
    </xf>
    <xf numFmtId="3" fontId="28" fillId="0" borderId="90" xfId="0" applyNumberFormat="1" applyFont="1" applyFill="1" applyBorder="1" applyAlignment="1">
      <alignment horizontal="right" shrinkToFit="1"/>
    </xf>
    <xf numFmtId="3" fontId="28" fillId="0" borderId="91" xfId="0" applyNumberFormat="1" applyFont="1" applyFill="1" applyBorder="1" applyAlignment="1">
      <alignment horizontal="right" shrinkToFit="1"/>
    </xf>
    <xf numFmtId="0" fontId="28" fillId="0" borderId="68" xfId="0" applyFont="1" applyFill="1" applyBorder="1" applyAlignment="1">
      <alignment vertical="center" shrinkToFit="1"/>
    </xf>
    <xf numFmtId="0" fontId="28" fillId="0" borderId="0" xfId="0" applyFont="1" applyFill="1" applyAlignment="1">
      <alignment shrinkToFit="1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47" xfId="0" applyNumberFormat="1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3" fontId="28" fillId="0" borderId="78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horizontal="justify" vertical="center"/>
    </xf>
    <xf numFmtId="3" fontId="27" fillId="0" borderId="18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3" fontId="28" fillId="0" borderId="72" xfId="0" applyNumberFormat="1" applyFont="1" applyFill="1" applyBorder="1" applyAlignment="1">
      <alignment horizontal="center" vertical="center"/>
    </xf>
    <xf numFmtId="3" fontId="28" fillId="0" borderId="58" xfId="0" applyNumberFormat="1" applyFont="1" applyFill="1" applyBorder="1" applyAlignment="1">
      <alignment horizontal="center" vertical="center"/>
    </xf>
    <xf numFmtId="3" fontId="28" fillId="0" borderId="60" xfId="0" applyNumberFormat="1" applyFont="1" applyFill="1" applyBorder="1" applyAlignment="1">
      <alignment horizontal="center" vertical="center"/>
    </xf>
    <xf numFmtId="3" fontId="28" fillId="0" borderId="89" xfId="0" applyNumberFormat="1" applyFont="1" applyFill="1" applyBorder="1" applyAlignment="1">
      <alignment horizontal="center" vertical="center"/>
    </xf>
    <xf numFmtId="3" fontId="28" fillId="0" borderId="73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 vertical="center"/>
    </xf>
    <xf numFmtId="3" fontId="27" fillId="0" borderId="92" xfId="0" applyNumberFormat="1" applyFont="1" applyFill="1" applyBorder="1" applyAlignment="1">
      <alignment horizontal="center" vertical="center"/>
    </xf>
    <xf numFmtId="3" fontId="27" fillId="0" borderId="28" xfId="0" applyNumberFormat="1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shrinkToFit="1"/>
    </xf>
    <xf numFmtId="3" fontId="28" fillId="0" borderId="85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83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3" fontId="27" fillId="0" borderId="93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vertical="center" wrapText="1"/>
    </xf>
    <xf numFmtId="3" fontId="28" fillId="0" borderId="18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center" vertical="center"/>
    </xf>
    <xf numFmtId="3" fontId="27" fillId="0" borderId="75" xfId="0" applyNumberFormat="1" applyFont="1" applyFill="1" applyBorder="1" applyAlignment="1">
      <alignment horizontal="center" vertical="center"/>
    </xf>
    <xf numFmtId="3" fontId="27" fillId="0" borderId="46" xfId="0" applyNumberFormat="1" applyFont="1" applyFill="1" applyBorder="1" applyAlignment="1">
      <alignment horizontal="center" vertical="center"/>
    </xf>
    <xf numFmtId="3" fontId="28" fillId="0" borderId="7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left"/>
    </xf>
    <xf numFmtId="49" fontId="27" fillId="0" borderId="16" xfId="0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 horizontal="center" vertical="center" shrinkToFit="1"/>
    </xf>
    <xf numFmtId="3" fontId="28" fillId="0" borderId="93" xfId="0" applyNumberFormat="1" applyFont="1" applyFill="1" applyBorder="1" applyAlignment="1">
      <alignment horizontal="center" vertical="center"/>
    </xf>
    <xf numFmtId="3" fontId="28" fillId="0" borderId="79" xfId="0" applyNumberFormat="1" applyFont="1" applyFill="1" applyBorder="1" applyAlignment="1">
      <alignment horizontal="center" vertical="center"/>
    </xf>
    <xf numFmtId="3" fontId="28" fillId="0" borderId="94" xfId="0" applyNumberFormat="1" applyFont="1" applyFill="1" applyBorder="1" applyAlignment="1">
      <alignment horizontal="center" vertical="center"/>
    </xf>
    <xf numFmtId="3" fontId="28" fillId="0" borderId="69" xfId="0" applyNumberFormat="1" applyFont="1" applyFill="1" applyBorder="1" applyAlignment="1">
      <alignment horizontal="center" vertical="center"/>
    </xf>
    <xf numFmtId="3" fontId="28" fillId="0" borderId="49" xfId="0" applyNumberFormat="1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vertical="center"/>
    </xf>
    <xf numFmtId="3" fontId="28" fillId="0" borderId="60" xfId="0" applyNumberFormat="1" applyFont="1" applyFill="1" applyBorder="1" applyAlignment="1">
      <alignment vertical="center"/>
    </xf>
    <xf numFmtId="3" fontId="28" fillId="0" borderId="45" xfId="0" applyNumberFormat="1" applyFont="1" applyFill="1" applyBorder="1" applyAlignment="1">
      <alignment horizontal="center" vertical="center"/>
    </xf>
    <xf numFmtId="3" fontId="28" fillId="0" borderId="68" xfId="0" applyNumberFormat="1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shrinkToFit="1"/>
    </xf>
    <xf numFmtId="3" fontId="28" fillId="0" borderId="90" xfId="0" applyNumberFormat="1" applyFont="1" applyFill="1" applyBorder="1" applyAlignment="1">
      <alignment horizontal="center" vertical="center"/>
    </xf>
    <xf numFmtId="49" fontId="28" fillId="0" borderId="90" xfId="0" applyNumberFormat="1" applyFont="1" applyFill="1" applyBorder="1" applyAlignment="1">
      <alignment horizontal="center" shrinkToFit="1"/>
    </xf>
    <xf numFmtId="3" fontId="28" fillId="0" borderId="77" xfId="0" applyNumberFormat="1" applyFont="1" applyFill="1" applyBorder="1" applyAlignment="1">
      <alignment horizontal="center" vertical="center"/>
    </xf>
    <xf numFmtId="3" fontId="28" fillId="0" borderId="3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28" fillId="0" borderId="95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96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80" xfId="0" applyFont="1" applyBorder="1" applyAlignment="1">
      <alignment vertical="center" wrapText="1"/>
    </xf>
    <xf numFmtId="3" fontId="27" fillId="0" borderId="27" xfId="0" applyNumberFormat="1" applyFont="1" applyBorder="1" applyAlignment="1">
      <alignment vertical="center" wrapText="1"/>
    </xf>
    <xf numFmtId="3" fontId="27" fillId="0" borderId="49" xfId="0" applyNumberFormat="1" applyFont="1" applyBorder="1" applyAlignment="1">
      <alignment vertical="center" wrapText="1"/>
    </xf>
    <xf numFmtId="3" fontId="27" fillId="0" borderId="48" xfId="0" applyNumberFormat="1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vertical="center" wrapText="1"/>
    </xf>
    <xf numFmtId="3" fontId="27" fillId="0" borderId="22" xfId="0" applyNumberFormat="1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7" fillId="0" borderId="97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3" fontId="27" fillId="0" borderId="23" xfId="0" applyNumberFormat="1" applyFont="1" applyBorder="1" applyAlignment="1">
      <alignment vertical="center" wrapText="1"/>
    </xf>
    <xf numFmtId="3" fontId="27" fillId="0" borderId="24" xfId="0" applyNumberFormat="1" applyFont="1" applyBorder="1" applyAlignment="1">
      <alignment vertical="center" wrapText="1"/>
    </xf>
    <xf numFmtId="0" fontId="27" fillId="0" borderId="92" xfId="0" applyFont="1" applyBorder="1" applyAlignment="1">
      <alignment vertical="center" wrapText="1"/>
    </xf>
    <xf numFmtId="0" fontId="27" fillId="0" borderId="58" xfId="0" applyFont="1" applyBorder="1" applyAlignment="1">
      <alignment horizontal="center" vertical="center" wrapText="1"/>
    </xf>
    <xf numFmtId="3" fontId="27" fillId="0" borderId="58" xfId="0" applyNumberFormat="1" applyFont="1" applyBorder="1" applyAlignment="1">
      <alignment vertical="center" wrapText="1"/>
    </xf>
    <xf numFmtId="3" fontId="27" fillId="0" borderId="59" xfId="0" applyNumberFormat="1" applyFont="1" applyBorder="1" applyAlignment="1">
      <alignment vertical="center" wrapText="1"/>
    </xf>
    <xf numFmtId="0" fontId="27" fillId="0" borderId="89" xfId="0" applyFont="1" applyBorder="1" applyAlignment="1">
      <alignment vertical="center" wrapText="1"/>
    </xf>
    <xf numFmtId="3" fontId="27" fillId="0" borderId="19" xfId="0" applyNumberFormat="1" applyFont="1" applyBorder="1" applyAlignment="1">
      <alignment vertical="center" wrapText="1"/>
    </xf>
    <xf numFmtId="3" fontId="27" fillId="0" borderId="21" xfId="0" applyNumberFormat="1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77" xfId="0" applyFont="1" applyBorder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49" fontId="46" fillId="0" borderId="0" xfId="0" applyNumberFormat="1" applyFont="1" applyFill="1" applyAlignment="1">
      <alignment vertical="center" shrinkToFit="1"/>
    </xf>
    <xf numFmtId="0" fontId="47" fillId="0" borderId="18" xfId="0" applyFont="1" applyFill="1" applyBorder="1" applyAlignment="1">
      <alignment vertical="center" shrinkToFit="1"/>
    </xf>
    <xf numFmtId="0" fontId="27" fillId="0" borderId="18" xfId="0" applyFont="1" applyFill="1" applyBorder="1" applyAlignment="1">
      <alignment vertical="center" shrinkToFit="1"/>
    </xf>
    <xf numFmtId="3" fontId="28" fillId="0" borderId="65" xfId="0" applyNumberFormat="1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vertical="center" shrinkToFit="1"/>
    </xf>
    <xf numFmtId="0" fontId="27" fillId="0" borderId="18" xfId="0" applyFont="1" applyFill="1" applyBorder="1" applyAlignment="1">
      <alignment horizontal="justify" vertical="center" shrinkToFit="1"/>
    </xf>
    <xf numFmtId="0" fontId="46" fillId="0" borderId="79" xfId="0" applyFont="1" applyFill="1" applyBorder="1" applyAlignment="1">
      <alignment vertical="center" shrinkToFit="1"/>
    </xf>
    <xf numFmtId="0" fontId="46" fillId="0" borderId="98" xfId="0" applyFont="1" applyFill="1" applyBorder="1" applyAlignment="1">
      <alignment vertical="center" shrinkToFit="1"/>
    </xf>
    <xf numFmtId="49" fontId="47" fillId="0" borderId="45" xfId="0" applyNumberFormat="1" applyFont="1" applyFill="1" applyBorder="1" applyAlignment="1">
      <alignment horizontal="center" vertical="center" shrinkToFit="1"/>
    </xf>
    <xf numFmtId="49" fontId="47" fillId="0" borderId="29" xfId="0" applyNumberFormat="1" applyFont="1" applyFill="1" applyBorder="1" applyAlignment="1">
      <alignment horizontal="center" vertical="center" shrinkToFit="1"/>
    </xf>
    <xf numFmtId="3" fontId="28" fillId="0" borderId="99" xfId="0" applyNumberFormat="1" applyFont="1" applyFill="1" applyBorder="1" applyAlignment="1">
      <alignment horizontal="right" vertical="center" shrinkToFit="1"/>
    </xf>
    <xf numFmtId="0" fontId="28" fillId="0" borderId="100" xfId="0" applyFont="1" applyFill="1" applyBorder="1" applyAlignment="1">
      <alignment vertical="center" shrinkToFit="1"/>
    </xf>
    <xf numFmtId="0" fontId="28" fillId="0" borderId="99" xfId="0" applyFont="1" applyFill="1" applyBorder="1" applyAlignment="1">
      <alignment horizontal="center" vertical="center" shrinkToFit="1"/>
    </xf>
    <xf numFmtId="49" fontId="27" fillId="0" borderId="28" xfId="0" applyNumberFormat="1" applyFont="1" applyFill="1" applyBorder="1" applyAlignment="1">
      <alignment horizontal="center" shrinkToFit="1"/>
    </xf>
    <xf numFmtId="49" fontId="27" fillId="0" borderId="41" xfId="0" applyNumberFormat="1" applyFont="1" applyFill="1" applyBorder="1" applyAlignment="1">
      <alignment horizontal="left" shrinkToFit="1"/>
    </xf>
    <xf numFmtId="49" fontId="27" fillId="0" borderId="51" xfId="0" applyNumberFormat="1" applyFont="1" applyFill="1" applyBorder="1" applyAlignment="1">
      <alignment horizontal="left" shrinkToFit="1"/>
    </xf>
    <xf numFmtId="0" fontId="50" fillId="0" borderId="101" xfId="0" applyFont="1" applyFill="1" applyBorder="1" applyAlignment="1">
      <alignment horizontal="center" vertical="center" shrinkToFit="1"/>
    </xf>
    <xf numFmtId="0" fontId="50" fillId="0" borderId="102" xfId="0" applyFont="1" applyFill="1" applyBorder="1" applyAlignment="1">
      <alignment horizontal="center" vertical="center" shrinkToFit="1"/>
    </xf>
    <xf numFmtId="0" fontId="50" fillId="0" borderId="68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 shrinkToFit="1"/>
    </xf>
    <xf numFmtId="0" fontId="50" fillId="0" borderId="103" xfId="0" applyFont="1" applyFill="1" applyBorder="1" applyAlignment="1">
      <alignment horizontal="center" vertical="center" shrinkToFit="1"/>
    </xf>
    <xf numFmtId="0" fontId="50" fillId="0" borderId="104" xfId="0" applyFont="1" applyFill="1" applyBorder="1" applyAlignment="1">
      <alignment horizontal="center" vertical="center" shrinkToFit="1"/>
    </xf>
    <xf numFmtId="0" fontId="50" fillId="0" borderId="105" xfId="0" applyFont="1" applyFill="1" applyBorder="1" applyAlignment="1">
      <alignment horizontal="center" vertical="center" shrinkToFit="1"/>
    </xf>
    <xf numFmtId="3" fontId="27" fillId="0" borderId="33" xfId="0" applyNumberFormat="1" applyFont="1" applyBorder="1" applyAlignment="1">
      <alignment vertical="center" wrapText="1"/>
    </xf>
    <xf numFmtId="3" fontId="27" fillId="0" borderId="56" xfId="0" applyNumberFormat="1" applyFont="1" applyBorder="1" applyAlignment="1">
      <alignment vertical="center" wrapText="1"/>
    </xf>
    <xf numFmtId="0" fontId="51" fillId="0" borderId="0" xfId="0" applyFont="1" applyFill="1" applyAlignment="1">
      <alignment vertical="center" shrinkToFit="1"/>
    </xf>
    <xf numFmtId="49" fontId="27" fillId="0" borderId="39" xfId="0" applyNumberFormat="1" applyFont="1" applyFill="1" applyBorder="1" applyAlignment="1">
      <alignment horizontal="left" shrinkToFit="1"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21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3" fontId="19" fillId="0" borderId="0" xfId="0" applyNumberFormat="1" applyFont="1" applyFill="1" applyBorder="1" applyAlignment="1">
      <alignment vertical="center" shrinkToFit="1"/>
    </xf>
    <xf numFmtId="4" fontId="28" fillId="0" borderId="30" xfId="0" applyNumberFormat="1" applyFont="1" applyFill="1" applyBorder="1" applyAlignment="1">
      <alignment horizontal="right" vertical="center"/>
    </xf>
    <xf numFmtId="3" fontId="28" fillId="0" borderId="106" xfId="0" applyNumberFormat="1" applyFont="1" applyFill="1" applyBorder="1" applyAlignment="1">
      <alignment horizontal="center" vertical="center"/>
    </xf>
    <xf numFmtId="49" fontId="28" fillId="0" borderId="106" xfId="0" applyNumberFormat="1" applyFont="1" applyFill="1" applyBorder="1" applyAlignment="1">
      <alignment horizontal="center" shrinkToFit="1"/>
    </xf>
    <xf numFmtId="0" fontId="54" fillId="0" borderId="0" xfId="0" applyFont="1" applyAlignment="1">
      <alignment/>
    </xf>
    <xf numFmtId="0" fontId="54" fillId="0" borderId="0" xfId="64" applyFont="1">
      <alignment/>
      <protection/>
    </xf>
    <xf numFmtId="0" fontId="54" fillId="0" borderId="0" xfId="64" applyFont="1" applyAlignment="1">
      <alignment horizontal="right"/>
      <protection/>
    </xf>
    <xf numFmtId="0" fontId="56" fillId="0" borderId="19" xfId="64" applyFont="1" applyBorder="1" applyAlignment="1">
      <alignment horizontal="center"/>
      <protection/>
    </xf>
    <xf numFmtId="0" fontId="11" fillId="0" borderId="14" xfId="64" applyFont="1" applyBorder="1">
      <alignment/>
      <protection/>
    </xf>
    <xf numFmtId="0" fontId="11" fillId="0" borderId="42" xfId="64" applyFont="1" applyBorder="1">
      <alignment/>
      <protection/>
    </xf>
    <xf numFmtId="3" fontId="11" fillId="0" borderId="16" xfId="64" applyNumberFormat="1" applyFont="1" applyBorder="1">
      <alignment/>
      <protection/>
    </xf>
    <xf numFmtId="3" fontId="11" fillId="0" borderId="107" xfId="64" applyNumberFormat="1" applyFont="1" applyBorder="1">
      <alignment/>
      <protection/>
    </xf>
    <xf numFmtId="0" fontId="11" fillId="0" borderId="41" xfId="64" applyFont="1" applyBorder="1">
      <alignment/>
      <protection/>
    </xf>
    <xf numFmtId="0" fontId="11" fillId="0" borderId="16" xfId="64" applyFont="1" applyBorder="1">
      <alignment/>
      <protection/>
    </xf>
    <xf numFmtId="3" fontId="11" fillId="0" borderId="23" xfId="64" applyNumberFormat="1" applyFont="1" applyBorder="1">
      <alignment/>
      <protection/>
    </xf>
    <xf numFmtId="0" fontId="11" fillId="0" borderId="42" xfId="0" applyFont="1" applyBorder="1" applyAlignment="1">
      <alignment/>
    </xf>
    <xf numFmtId="0" fontId="11" fillId="0" borderId="41" xfId="0" applyFont="1" applyBorder="1" applyAlignment="1">
      <alignment/>
    </xf>
    <xf numFmtId="3" fontId="13" fillId="0" borderId="33" xfId="64" applyNumberFormat="1" applyFont="1" applyBorder="1" applyAlignment="1">
      <alignment vertical="center"/>
      <protection/>
    </xf>
    <xf numFmtId="0" fontId="54" fillId="0" borderId="0" xfId="64" applyFont="1" applyAlignment="1">
      <alignment vertical="center"/>
      <protection/>
    </xf>
    <xf numFmtId="0" fontId="56" fillId="0" borderId="106" xfId="64" applyFont="1" applyBorder="1" applyAlignment="1">
      <alignment vertical="center"/>
      <protection/>
    </xf>
    <xf numFmtId="3" fontId="56" fillId="0" borderId="0" xfId="64" applyNumberFormat="1" applyFont="1" applyBorder="1" applyAlignment="1">
      <alignment vertical="center"/>
      <protection/>
    </xf>
    <xf numFmtId="0" fontId="11" fillId="0" borderId="15" xfId="64" applyFont="1" applyBorder="1">
      <alignment/>
      <protection/>
    </xf>
    <xf numFmtId="0" fontId="11" fillId="0" borderId="77" xfId="64" applyFont="1" applyBorder="1" applyAlignment="1">
      <alignment vertical="center"/>
      <protection/>
    </xf>
    <xf numFmtId="0" fontId="13" fillId="0" borderId="33" xfId="64" applyFont="1" applyBorder="1" applyAlignment="1">
      <alignment vertical="center"/>
      <protection/>
    </xf>
    <xf numFmtId="3" fontId="54" fillId="0" borderId="0" xfId="64" applyNumberFormat="1" applyFont="1">
      <alignment/>
      <protection/>
    </xf>
    <xf numFmtId="0" fontId="53" fillId="0" borderId="0" xfId="64" applyFont="1">
      <alignment/>
      <protection/>
    </xf>
    <xf numFmtId="0" fontId="11" fillId="0" borderId="0" xfId="0" applyFont="1" applyAlignment="1">
      <alignment horizontal="center" vertical="top"/>
    </xf>
    <xf numFmtId="0" fontId="54" fillId="0" borderId="0" xfId="64" applyFont="1" applyBorder="1" applyAlignment="1">
      <alignment horizontal="left" vertical="center"/>
      <protection/>
    </xf>
    <xf numFmtId="0" fontId="54" fillId="0" borderId="0" xfId="64" applyFont="1" applyBorder="1" applyAlignment="1">
      <alignment horizontal="left" vertical="center" wrapText="1"/>
      <protection/>
    </xf>
    <xf numFmtId="0" fontId="57" fillId="0" borderId="0" xfId="0" applyFont="1" applyAlignment="1" quotePrefix="1">
      <alignment horizontal="center" vertical="top"/>
    </xf>
    <xf numFmtId="0" fontId="11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64">
      <alignment/>
      <protection/>
    </xf>
    <xf numFmtId="0" fontId="58" fillId="0" borderId="0" xfId="63">
      <alignment/>
      <protection/>
    </xf>
    <xf numFmtId="0" fontId="54" fillId="0" borderId="0" xfId="63" applyFont="1">
      <alignment/>
      <protection/>
    </xf>
    <xf numFmtId="0" fontId="54" fillId="0" borderId="108" xfId="63" applyFont="1" applyBorder="1" applyAlignment="1">
      <alignment wrapText="1"/>
      <protection/>
    </xf>
    <xf numFmtId="0" fontId="56" fillId="0" borderId="109" xfId="63" applyFont="1" applyBorder="1" applyAlignment="1">
      <alignment wrapText="1"/>
      <protection/>
    </xf>
    <xf numFmtId="0" fontId="56" fillId="0" borderId="78" xfId="63" applyFont="1" applyBorder="1" applyAlignment="1">
      <alignment horizontal="center" wrapText="1"/>
      <protection/>
    </xf>
    <xf numFmtId="0" fontId="56" fillId="0" borderId="30" xfId="63" applyFont="1" applyBorder="1" applyAlignment="1">
      <alignment horizontal="center" wrapText="1"/>
      <protection/>
    </xf>
    <xf numFmtId="0" fontId="56" fillId="0" borderId="55" xfId="63" applyFont="1" applyBorder="1" applyAlignment="1">
      <alignment horizontal="center" wrapText="1"/>
      <protection/>
    </xf>
    <xf numFmtId="0" fontId="54" fillId="0" borderId="110" xfId="63" applyFont="1" applyBorder="1">
      <alignment/>
      <protection/>
    </xf>
    <xf numFmtId="0" fontId="54" fillId="0" borderId="93" xfId="63" applyFont="1" applyBorder="1">
      <alignment/>
      <protection/>
    </xf>
    <xf numFmtId="0" fontId="54" fillId="0" borderId="14" xfId="63" applyFont="1" applyBorder="1">
      <alignment/>
      <protection/>
    </xf>
    <xf numFmtId="3" fontId="54" fillId="0" borderId="16" xfId="63" applyNumberFormat="1" applyFont="1" applyBorder="1">
      <alignment/>
      <protection/>
    </xf>
    <xf numFmtId="0" fontId="54" fillId="0" borderId="14" xfId="63" applyFont="1" applyBorder="1" applyAlignment="1">
      <alignment wrapText="1"/>
      <protection/>
    </xf>
    <xf numFmtId="3" fontId="54" fillId="0" borderId="23" xfId="63" applyNumberFormat="1" applyFont="1" applyBorder="1">
      <alignment/>
      <protection/>
    </xf>
    <xf numFmtId="3" fontId="54" fillId="0" borderId="111" xfId="63" applyNumberFormat="1" applyFont="1" applyBorder="1">
      <alignment/>
      <protection/>
    </xf>
    <xf numFmtId="3" fontId="54" fillId="0" borderId="112" xfId="63" applyNumberFormat="1" applyFont="1" applyBorder="1">
      <alignment/>
      <protection/>
    </xf>
    <xf numFmtId="0" fontId="54" fillId="0" borderId="113" xfId="63" applyFont="1" applyBorder="1" applyAlignment="1">
      <alignment vertical="center"/>
      <protection/>
    </xf>
    <xf numFmtId="3" fontId="56" fillId="0" borderId="54" xfId="63" applyNumberFormat="1" applyFont="1" applyBorder="1" applyAlignment="1">
      <alignment vertical="center"/>
      <protection/>
    </xf>
    <xf numFmtId="3" fontId="56" fillId="0" borderId="11" xfId="63" applyNumberFormat="1" applyFont="1" applyBorder="1" applyAlignment="1">
      <alignment vertical="center"/>
      <protection/>
    </xf>
    <xf numFmtId="0" fontId="54" fillId="0" borderId="47" xfId="63" applyFont="1" applyBorder="1">
      <alignment/>
      <protection/>
    </xf>
    <xf numFmtId="0" fontId="54" fillId="0" borderId="114" xfId="63" applyFont="1" applyBorder="1">
      <alignment/>
      <protection/>
    </xf>
    <xf numFmtId="3" fontId="54" fillId="0" borderId="114" xfId="63" applyNumberFormat="1" applyFont="1" applyBorder="1">
      <alignment/>
      <protection/>
    </xf>
    <xf numFmtId="0" fontId="54" fillId="0" borderId="108" xfId="63" applyFont="1" applyBorder="1">
      <alignment/>
      <protection/>
    </xf>
    <xf numFmtId="3" fontId="54" fillId="0" borderId="30" xfId="63" applyNumberFormat="1" applyFont="1" applyBorder="1">
      <alignment/>
      <protection/>
    </xf>
    <xf numFmtId="3" fontId="54" fillId="0" borderId="115" xfId="63" applyNumberFormat="1" applyFont="1" applyFill="1" applyBorder="1">
      <alignment/>
      <protection/>
    </xf>
    <xf numFmtId="3" fontId="54" fillId="0" borderId="107" xfId="63" applyNumberFormat="1" applyFont="1" applyFill="1" applyBorder="1">
      <alignment/>
      <protection/>
    </xf>
    <xf numFmtId="3" fontId="54" fillId="0" borderId="112" xfId="63" applyNumberFormat="1" applyFont="1" applyFill="1" applyBorder="1">
      <alignment/>
      <protection/>
    </xf>
    <xf numFmtId="0" fontId="54" fillId="0" borderId="116" xfId="63" applyFont="1" applyBorder="1">
      <alignment/>
      <protection/>
    </xf>
    <xf numFmtId="0" fontId="54" fillId="0" borderId="15" xfId="63" applyFont="1" applyBorder="1">
      <alignment/>
      <protection/>
    </xf>
    <xf numFmtId="3" fontId="54" fillId="0" borderId="33" xfId="63" applyNumberFormat="1" applyFont="1" applyBorder="1">
      <alignment/>
      <protection/>
    </xf>
    <xf numFmtId="3" fontId="54" fillId="0" borderId="0" xfId="63" applyNumberFormat="1" applyFont="1">
      <alignment/>
      <protection/>
    </xf>
    <xf numFmtId="3" fontId="58" fillId="0" borderId="0" xfId="63" applyNumberFormat="1">
      <alignment/>
      <protection/>
    </xf>
    <xf numFmtId="0" fontId="26" fillId="0" borderId="0" xfId="0" applyFont="1" applyAlignment="1">
      <alignment horizontal="right"/>
    </xf>
    <xf numFmtId="3" fontId="17" fillId="0" borderId="69" xfId="0" applyNumberFormat="1" applyFont="1" applyFill="1" applyBorder="1" applyAlignment="1">
      <alignment horizontal="left" vertical="center"/>
    </xf>
    <xf numFmtId="3" fontId="59" fillId="0" borderId="27" xfId="0" applyNumberFormat="1" applyFont="1" applyFill="1" applyBorder="1" applyAlignment="1">
      <alignment vertical="center"/>
    </xf>
    <xf numFmtId="3" fontId="59" fillId="0" borderId="49" xfId="0" applyNumberFormat="1" applyFont="1" applyFill="1" applyBorder="1" applyAlignment="1">
      <alignment horizontal="center" vertical="center"/>
    </xf>
    <xf numFmtId="3" fontId="59" fillId="0" borderId="27" xfId="0" applyNumberFormat="1" applyFont="1" applyFill="1" applyBorder="1" applyAlignment="1">
      <alignment horizontal="center" vertical="center"/>
    </xf>
    <xf numFmtId="3" fontId="59" fillId="0" borderId="27" xfId="0" applyNumberFormat="1" applyFont="1" applyFill="1" applyBorder="1" applyAlignment="1">
      <alignment horizontal="center" vertical="center" wrapText="1"/>
    </xf>
    <xf numFmtId="3" fontId="59" fillId="0" borderId="48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3" fontId="59" fillId="0" borderId="28" xfId="0" applyNumberFormat="1" applyFont="1" applyFill="1" applyBorder="1" applyAlignment="1">
      <alignment vertical="center"/>
    </xf>
    <xf numFmtId="3" fontId="59" fillId="0" borderId="28" xfId="0" applyNumberFormat="1" applyFont="1" applyFill="1" applyBorder="1" applyAlignment="1">
      <alignment horizontal="center" vertical="center" wrapText="1"/>
    </xf>
    <xf numFmtId="3" fontId="59" fillId="0" borderId="51" xfId="0" applyNumberFormat="1" applyFont="1" applyFill="1" applyBorder="1" applyAlignment="1">
      <alignment horizontal="center" vertical="center"/>
    </xf>
    <xf numFmtId="3" fontId="59" fillId="0" borderId="28" xfId="0" applyNumberFormat="1" applyFont="1" applyFill="1" applyBorder="1" applyAlignment="1">
      <alignment horizontal="center" vertical="center"/>
    </xf>
    <xf numFmtId="3" fontId="59" fillId="0" borderId="50" xfId="0" applyNumberFormat="1" applyFont="1" applyFill="1" applyBorder="1" applyAlignment="1">
      <alignment horizontal="center" vertical="center" wrapText="1"/>
    </xf>
    <xf numFmtId="3" fontId="17" fillId="0" borderId="68" xfId="0" applyNumberFormat="1" applyFont="1" applyFill="1" applyBorder="1" applyAlignment="1">
      <alignment horizontal="right" vertical="center"/>
    </xf>
    <xf numFmtId="3" fontId="59" fillId="0" borderId="29" xfId="0" applyNumberFormat="1" applyFont="1" applyFill="1" applyBorder="1" applyAlignment="1">
      <alignment vertical="center"/>
    </xf>
    <xf numFmtId="3" fontId="59" fillId="0" borderId="53" xfId="0" applyNumberFormat="1" applyFont="1" applyFill="1" applyBorder="1" applyAlignment="1">
      <alignment horizontal="center" vertical="center"/>
    </xf>
    <xf numFmtId="3" fontId="59" fillId="0" borderId="29" xfId="0" applyNumberFormat="1" applyFont="1" applyFill="1" applyBorder="1" applyAlignment="1">
      <alignment horizontal="center" vertical="center"/>
    </xf>
    <xf numFmtId="3" fontId="59" fillId="0" borderId="52" xfId="0" applyNumberFormat="1" applyFont="1" applyFill="1" applyBorder="1" applyAlignment="1">
      <alignment horizontal="center" vertical="center"/>
    </xf>
    <xf numFmtId="3" fontId="17" fillId="0" borderId="95" xfId="0" applyNumberFormat="1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horizontal="left" vertical="center" indent="1"/>
    </xf>
    <xf numFmtId="3" fontId="60" fillId="0" borderId="27" xfId="0" applyNumberFormat="1" applyFont="1" applyFill="1" applyBorder="1" applyAlignment="1">
      <alignment vertical="center"/>
    </xf>
    <xf numFmtId="3" fontId="60" fillId="0" borderId="117" xfId="0" applyNumberFormat="1" applyFont="1" applyFill="1" applyBorder="1" applyAlignment="1">
      <alignment vertical="center"/>
    </xf>
    <xf numFmtId="3" fontId="60" fillId="0" borderId="118" xfId="0" applyNumberFormat="1" applyFont="1" applyFill="1" applyBorder="1" applyAlignment="1">
      <alignment vertical="center"/>
    </xf>
    <xf numFmtId="3" fontId="60" fillId="0" borderId="49" xfId="0" applyNumberFormat="1" applyFont="1" applyFill="1" applyBorder="1" applyAlignment="1">
      <alignment horizontal="right" vertical="center"/>
    </xf>
    <xf numFmtId="3" fontId="60" fillId="0" borderId="27" xfId="0" applyNumberFormat="1" applyFont="1" applyFill="1" applyBorder="1" applyAlignment="1">
      <alignment horizontal="right" vertical="center"/>
    </xf>
    <xf numFmtId="3" fontId="60" fillId="0" borderId="48" xfId="0" applyNumberFormat="1" applyFont="1" applyFill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60" fillId="0" borderId="16" xfId="0" applyNumberFormat="1" applyFont="1" applyFill="1" applyBorder="1" applyAlignment="1">
      <alignment horizontal="left" vertical="center" indent="1"/>
    </xf>
    <xf numFmtId="3" fontId="60" fillId="0" borderId="16" xfId="0" applyNumberFormat="1" applyFont="1" applyFill="1" applyBorder="1" applyAlignment="1">
      <alignment vertical="center"/>
    </xf>
    <xf numFmtId="3" fontId="60" fillId="0" borderId="22" xfId="0" applyNumberFormat="1" applyFont="1" applyFill="1" applyBorder="1" applyAlignment="1">
      <alignment vertical="center"/>
    </xf>
    <xf numFmtId="3" fontId="60" fillId="0" borderId="110" xfId="0" applyNumberFormat="1" applyFont="1" applyFill="1" applyBorder="1" applyAlignment="1">
      <alignment vertical="center"/>
    </xf>
    <xf numFmtId="3" fontId="60" fillId="0" borderId="41" xfId="0" applyNumberFormat="1" applyFont="1" applyFill="1" applyBorder="1" applyAlignment="1">
      <alignment vertical="center"/>
    </xf>
    <xf numFmtId="3" fontId="60" fillId="0" borderId="16" xfId="0" applyNumberFormat="1" applyFont="1" applyFill="1" applyBorder="1" applyAlignment="1">
      <alignment horizontal="right" vertical="center"/>
    </xf>
    <xf numFmtId="3" fontId="60" fillId="0" borderId="22" xfId="0" applyNumberFormat="1" applyFont="1" applyFill="1" applyBorder="1" applyAlignment="1">
      <alignment horizontal="right" vertical="center"/>
    </xf>
    <xf numFmtId="3" fontId="60" fillId="0" borderId="16" xfId="0" applyNumberFormat="1" applyFont="1" applyFill="1" applyBorder="1" applyAlignment="1">
      <alignment horizontal="left" vertical="center" wrapText="1" indent="1"/>
    </xf>
    <xf numFmtId="3" fontId="60" fillId="0" borderId="41" xfId="0" applyNumberFormat="1" applyFont="1" applyFill="1" applyBorder="1" applyAlignment="1">
      <alignment horizontal="right" vertical="center"/>
    </xf>
    <xf numFmtId="3" fontId="17" fillId="0" borderId="96" xfId="0" applyNumberFormat="1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/>
    </xf>
    <xf numFmtId="3" fontId="59" fillId="0" borderId="17" xfId="0" applyNumberFormat="1" applyFont="1" applyFill="1" applyBorder="1" applyAlignment="1">
      <alignment horizontal="center" vertical="center"/>
    </xf>
    <xf numFmtId="3" fontId="59" fillId="0" borderId="11" xfId="0" applyNumberFormat="1" applyFont="1" applyFill="1" applyBorder="1" applyAlignment="1">
      <alignment horizontal="right" vertical="center"/>
    </xf>
    <xf numFmtId="3" fontId="59" fillId="0" borderId="12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vertical="center"/>
    </xf>
    <xf numFmtId="0" fontId="12" fillId="0" borderId="30" xfId="0" applyFont="1" applyBorder="1" applyAlignment="1">
      <alignment/>
    </xf>
    <xf numFmtId="0" fontId="12" fillId="0" borderId="55" xfId="0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22" borderId="16" xfId="0" applyNumberFormat="1" applyFont="1" applyFill="1" applyBorder="1" applyAlignment="1">
      <alignment/>
    </xf>
    <xf numFmtId="3" fontId="12" fillId="22" borderId="22" xfId="0" applyNumberFormat="1" applyFont="1" applyFill="1" applyBorder="1" applyAlignment="1">
      <alignment/>
    </xf>
    <xf numFmtId="0" fontId="12" fillId="22" borderId="16" xfId="0" applyFont="1" applyFill="1" applyBorder="1" applyAlignment="1">
      <alignment/>
    </xf>
    <xf numFmtId="0" fontId="12" fillId="22" borderId="22" xfId="0" applyFont="1" applyFill="1" applyBorder="1" applyAlignment="1">
      <alignment/>
    </xf>
    <xf numFmtId="0" fontId="12" fillId="22" borderId="23" xfId="0" applyFont="1" applyFill="1" applyBorder="1" applyAlignment="1">
      <alignment/>
    </xf>
    <xf numFmtId="3" fontId="12" fillId="0" borderId="23" xfId="0" applyNumberFormat="1" applyFont="1" applyBorder="1" applyAlignment="1">
      <alignment/>
    </xf>
    <xf numFmtId="0" fontId="12" fillId="22" borderId="56" xfId="0" applyFont="1" applyFill="1" applyBorder="1" applyAlignment="1">
      <alignment/>
    </xf>
    <xf numFmtId="0" fontId="0" fillId="0" borderId="106" xfId="0" applyBorder="1" applyAlignment="1">
      <alignment/>
    </xf>
    <xf numFmtId="3" fontId="60" fillId="0" borderId="0" xfId="0" applyNumberFormat="1" applyFont="1" applyFill="1" applyAlignment="1">
      <alignment vertical="center"/>
    </xf>
    <xf numFmtId="3" fontId="59" fillId="0" borderId="0" xfId="0" applyNumberFormat="1" applyFont="1" applyFill="1" applyAlignment="1">
      <alignment vertical="center"/>
    </xf>
    <xf numFmtId="3" fontId="59" fillId="0" borderId="50" xfId="0" applyNumberFormat="1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vertical="center"/>
    </xf>
    <xf numFmtId="3" fontId="17" fillId="0" borderId="92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vertical="center"/>
    </xf>
    <xf numFmtId="3" fontId="60" fillId="0" borderId="23" xfId="0" applyNumberFormat="1" applyFont="1" applyFill="1" applyBorder="1" applyAlignment="1">
      <alignment horizontal="right" vertical="center"/>
    </xf>
    <xf numFmtId="3" fontId="59" fillId="0" borderId="16" xfId="0" applyNumberFormat="1" applyFont="1" applyFill="1" applyBorder="1" applyAlignment="1">
      <alignment horizontal="left" vertical="center" wrapText="1" indent="1"/>
    </xf>
    <xf numFmtId="3" fontId="59" fillId="0" borderId="16" xfId="0" applyNumberFormat="1" applyFont="1" applyFill="1" applyBorder="1" applyAlignment="1">
      <alignment horizontal="right" vertical="center"/>
    </xf>
    <xf numFmtId="3" fontId="59" fillId="0" borderId="22" xfId="0" applyNumberFormat="1" applyFont="1" applyFill="1" applyBorder="1" applyAlignment="1">
      <alignment horizontal="right" vertical="center"/>
    </xf>
    <xf numFmtId="3" fontId="59" fillId="0" borderId="28" xfId="0" applyNumberFormat="1" applyFont="1" applyFill="1" applyBorder="1" applyAlignment="1">
      <alignment horizontal="left" vertical="center" indent="1"/>
    </xf>
    <xf numFmtId="3" fontId="59" fillId="0" borderId="28" xfId="0" applyNumberFormat="1" applyFont="1" applyFill="1" applyBorder="1" applyAlignment="1">
      <alignment horizontal="right" vertical="center"/>
    </xf>
    <xf numFmtId="3" fontId="59" fillId="0" borderId="50" xfId="0" applyNumberFormat="1" applyFont="1" applyFill="1" applyBorder="1" applyAlignment="1">
      <alignment horizontal="right" vertical="center"/>
    </xf>
    <xf numFmtId="3" fontId="17" fillId="0" borderId="77" xfId="0" applyNumberFormat="1" applyFont="1" applyFill="1" applyBorder="1" applyAlignment="1">
      <alignment horizontal="center" vertical="center"/>
    </xf>
    <xf numFmtId="3" fontId="15" fillId="0" borderId="33" xfId="0" applyNumberFormat="1" applyFont="1" applyFill="1" applyBorder="1" applyAlignment="1">
      <alignment vertical="center"/>
    </xf>
    <xf numFmtId="3" fontId="59" fillId="0" borderId="33" xfId="0" applyNumberFormat="1" applyFont="1" applyFill="1" applyBorder="1" applyAlignment="1">
      <alignment horizontal="left" vertical="center" indent="1"/>
    </xf>
    <xf numFmtId="3" fontId="59" fillId="0" borderId="33" xfId="0" applyNumberFormat="1" applyFont="1" applyFill="1" applyBorder="1" applyAlignment="1">
      <alignment horizontal="right" vertical="center"/>
    </xf>
    <xf numFmtId="3" fontId="59" fillId="0" borderId="56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3" fontId="59" fillId="0" borderId="19" xfId="0" applyNumberFormat="1" applyFont="1" applyFill="1" applyBorder="1" applyAlignment="1">
      <alignment vertical="center"/>
    </xf>
    <xf numFmtId="3" fontId="59" fillId="0" borderId="19" xfId="0" applyNumberFormat="1" applyFont="1" applyFill="1" applyBorder="1" applyAlignment="1">
      <alignment horizontal="right" vertical="center"/>
    </xf>
    <xf numFmtId="3" fontId="59" fillId="0" borderId="21" xfId="0" applyNumberFormat="1" applyFont="1" applyFill="1" applyBorder="1" applyAlignment="1">
      <alignment horizontal="right" vertical="center"/>
    </xf>
    <xf numFmtId="3" fontId="15" fillId="0" borderId="16" xfId="0" applyNumberFormat="1" applyFont="1" applyFill="1" applyBorder="1" applyAlignment="1">
      <alignment horizontal="center" vertical="center"/>
    </xf>
    <xf numFmtId="3" fontId="15" fillId="0" borderId="33" xfId="0" applyNumberFormat="1" applyFont="1" applyFill="1" applyBorder="1" applyAlignment="1">
      <alignment horizontal="center" vertical="center"/>
    </xf>
    <xf numFmtId="3" fontId="17" fillId="0" borderId="15" xfId="0" applyNumberFormat="1" applyFont="1" applyFill="1" applyBorder="1" applyAlignment="1">
      <alignment horizontal="center" vertical="center"/>
    </xf>
    <xf numFmtId="3" fontId="59" fillId="0" borderId="23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60" fillId="0" borderId="23" xfId="0" applyNumberFormat="1" applyFont="1" applyFill="1" applyBorder="1" applyAlignment="1">
      <alignment horizontal="left" vertical="center" wrapText="1" indent="1"/>
    </xf>
    <xf numFmtId="3" fontId="60" fillId="0" borderId="33" xfId="0" applyNumberFormat="1" applyFont="1" applyFill="1" applyBorder="1" applyAlignment="1">
      <alignment horizontal="right" vertical="center"/>
    </xf>
    <xf numFmtId="3" fontId="60" fillId="0" borderId="33" xfId="0" applyNumberFormat="1" applyFont="1" applyFill="1" applyBorder="1" applyAlignment="1">
      <alignment horizontal="left" vertical="center" indent="1"/>
    </xf>
    <xf numFmtId="3" fontId="15" fillId="0" borderId="19" xfId="0" applyNumberFormat="1" applyFont="1" applyFill="1" applyBorder="1" applyAlignment="1">
      <alignment horizontal="center" vertical="center"/>
    </xf>
    <xf numFmtId="3" fontId="13" fillId="0" borderId="93" xfId="0" applyNumberFormat="1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1" fillId="0" borderId="0" xfId="57" applyFont="1" applyFill="1" applyAlignment="1">
      <alignment/>
      <protection/>
    </xf>
    <xf numFmtId="0" fontId="61" fillId="0" borderId="0" xfId="57" applyFont="1" applyFill="1" applyAlignment="1">
      <alignment horizontal="right"/>
      <protection/>
    </xf>
    <xf numFmtId="0" fontId="11" fillId="0" borderId="95" xfId="57" applyFont="1" applyFill="1" applyBorder="1" applyAlignment="1">
      <alignment vertical="center"/>
      <protection/>
    </xf>
    <xf numFmtId="0" fontId="11" fillId="0" borderId="0" xfId="57" applyFont="1" applyFill="1" applyBorder="1" applyAlignment="1">
      <alignment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11" fillId="0" borderId="96" xfId="57" applyFont="1" applyFill="1" applyBorder="1" applyAlignment="1">
      <alignment vertical="center"/>
      <protection/>
    </xf>
    <xf numFmtId="0" fontId="11" fillId="0" borderId="92" xfId="57" applyFont="1" applyFill="1" applyBorder="1" applyAlignment="1">
      <alignment/>
      <protection/>
    </xf>
    <xf numFmtId="0" fontId="11" fillId="0" borderId="51" xfId="57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center"/>
      <protection/>
    </xf>
    <xf numFmtId="0" fontId="11" fillId="0" borderId="27" xfId="57" applyFont="1" applyFill="1" applyBorder="1" applyAlignment="1">
      <alignment horizontal="center"/>
      <protection/>
    </xf>
    <xf numFmtId="0" fontId="62" fillId="0" borderId="74" xfId="57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/>
      <protection/>
    </xf>
    <xf numFmtId="0" fontId="13" fillId="0" borderId="92" xfId="57" applyFont="1" applyFill="1" applyBorder="1" applyAlignment="1">
      <alignment horizontal="left" vertical="center"/>
      <protection/>
    </xf>
    <xf numFmtId="3" fontId="13" fillId="0" borderId="28" xfId="57" applyNumberFormat="1" applyFont="1" applyFill="1" applyBorder="1" applyAlignment="1">
      <alignment horizontal="right" vertical="center"/>
      <protection/>
    </xf>
    <xf numFmtId="3" fontId="13" fillId="0" borderId="67" xfId="57" applyNumberFormat="1" applyFont="1" applyFill="1" applyBorder="1" applyAlignment="1">
      <alignment horizontal="right" vertical="center"/>
      <protection/>
    </xf>
    <xf numFmtId="3" fontId="13" fillId="0" borderId="74" xfId="57" applyNumberFormat="1" applyFont="1" applyFill="1" applyBorder="1" applyAlignment="1">
      <alignment horizontal="right" vertical="center"/>
      <protection/>
    </xf>
    <xf numFmtId="3" fontId="13" fillId="0" borderId="0" xfId="57" applyNumberFormat="1" applyFont="1" applyFill="1" applyBorder="1" applyAlignment="1">
      <alignment horizontal="right" vertical="center"/>
      <protection/>
    </xf>
    <xf numFmtId="0" fontId="13" fillId="0" borderId="92" xfId="57" applyFont="1" applyFill="1" applyBorder="1" applyAlignment="1">
      <alignment vertical="center"/>
      <protection/>
    </xf>
    <xf numFmtId="3" fontId="13" fillId="0" borderId="51" xfId="57" applyNumberFormat="1" applyFont="1" applyFill="1" applyBorder="1" applyAlignment="1">
      <alignment horizontal="right" vertical="center"/>
      <protection/>
    </xf>
    <xf numFmtId="3" fontId="63" fillId="0" borderId="67" xfId="57" applyNumberFormat="1" applyFont="1" applyFill="1" applyBorder="1" applyAlignment="1">
      <alignment horizontal="right" vertical="center"/>
      <protection/>
    </xf>
    <xf numFmtId="3" fontId="11" fillId="0" borderId="0" xfId="57" applyNumberFormat="1" applyFont="1" applyFill="1" applyBorder="1" applyAlignment="1">
      <alignment vertical="center"/>
      <protection/>
    </xf>
    <xf numFmtId="0" fontId="11" fillId="0" borderId="92" xfId="57" applyFont="1" applyFill="1" applyBorder="1" applyAlignment="1">
      <alignment horizontal="left" vertical="center"/>
      <protection/>
    </xf>
    <xf numFmtId="3" fontId="11" fillId="0" borderId="51" xfId="57" applyNumberFormat="1" applyFont="1" applyFill="1" applyBorder="1" applyAlignment="1">
      <alignment vertical="center"/>
      <protection/>
    </xf>
    <xf numFmtId="3" fontId="11" fillId="0" borderId="67" xfId="57" applyNumberFormat="1" applyFont="1" applyFill="1" applyBorder="1" applyAlignment="1">
      <alignment vertical="center"/>
      <protection/>
    </xf>
    <xf numFmtId="3" fontId="11" fillId="0" borderId="28" xfId="57" applyNumberFormat="1" applyFont="1" applyFill="1" applyBorder="1" applyAlignment="1">
      <alignment vertical="center"/>
      <protection/>
    </xf>
    <xf numFmtId="0" fontId="11" fillId="0" borderId="92" xfId="57" applyFont="1" applyFill="1" applyBorder="1" applyAlignment="1">
      <alignment horizontal="left" vertical="center" wrapText="1"/>
      <protection/>
    </xf>
    <xf numFmtId="3" fontId="13" fillId="0" borderId="0" xfId="57" applyNumberFormat="1" applyFont="1" applyFill="1" applyBorder="1" applyAlignment="1">
      <alignment vertical="center"/>
      <protection/>
    </xf>
    <xf numFmtId="3" fontId="13" fillId="0" borderId="28" xfId="57" applyNumberFormat="1" applyFont="1" applyFill="1" applyBorder="1" applyAlignment="1">
      <alignment vertical="center"/>
      <protection/>
    </xf>
    <xf numFmtId="3" fontId="13" fillId="0" borderId="67" xfId="57" applyNumberFormat="1" applyFont="1" applyFill="1" applyBorder="1" applyAlignment="1">
      <alignment vertical="center"/>
      <protection/>
    </xf>
    <xf numFmtId="3" fontId="13" fillId="0" borderId="74" xfId="57" applyNumberFormat="1" applyFont="1" applyFill="1" applyBorder="1" applyAlignment="1">
      <alignment vertical="center"/>
      <protection/>
    </xf>
    <xf numFmtId="3" fontId="13" fillId="0" borderId="51" xfId="57" applyNumberFormat="1" applyFont="1" applyFill="1" applyBorder="1" applyAlignment="1">
      <alignment vertical="center"/>
      <protection/>
    </xf>
    <xf numFmtId="0" fontId="11" fillId="0" borderId="92" xfId="57" applyFont="1" applyFill="1" applyBorder="1" applyAlignment="1">
      <alignment vertical="center"/>
      <protection/>
    </xf>
    <xf numFmtId="0" fontId="11" fillId="0" borderId="92" xfId="57" applyFont="1" applyFill="1" applyBorder="1" applyAlignment="1">
      <alignment horizontal="justify" vertical="center"/>
      <protection/>
    </xf>
    <xf numFmtId="3" fontId="11" fillId="0" borderId="51" xfId="57" applyNumberFormat="1" applyFont="1" applyFill="1" applyBorder="1" applyAlignment="1">
      <alignment horizontal="right" vertical="center"/>
      <protection/>
    </xf>
    <xf numFmtId="3" fontId="11" fillId="0" borderId="28" xfId="57" applyNumberFormat="1" applyFont="1" applyFill="1" applyBorder="1" applyAlignment="1">
      <alignment horizontal="right" vertical="center"/>
      <protection/>
    </xf>
    <xf numFmtId="3" fontId="11" fillId="0" borderId="74" xfId="57" applyNumberFormat="1" applyFont="1" applyFill="1" applyBorder="1" applyAlignment="1">
      <alignment vertical="center"/>
      <protection/>
    </xf>
    <xf numFmtId="0" fontId="13" fillId="0" borderId="85" xfId="57" applyFont="1" applyFill="1" applyBorder="1" applyAlignment="1">
      <alignment vertical="center"/>
      <protection/>
    </xf>
    <xf numFmtId="3" fontId="13" fillId="0" borderId="60" xfId="57" applyNumberFormat="1" applyFont="1" applyFill="1" applyBorder="1" applyAlignment="1">
      <alignment vertical="center"/>
      <protection/>
    </xf>
    <xf numFmtId="3" fontId="13" fillId="0" borderId="88" xfId="57" applyNumberFormat="1" applyFont="1" applyFill="1" applyBorder="1" applyAlignment="1">
      <alignment vertical="center"/>
      <protection/>
    </xf>
    <xf numFmtId="3" fontId="13" fillId="0" borderId="58" xfId="57" applyNumberFormat="1" applyFont="1" applyFill="1" applyBorder="1" applyAlignment="1">
      <alignment vertical="center"/>
      <protection/>
    </xf>
    <xf numFmtId="3" fontId="13" fillId="0" borderId="119" xfId="57" applyNumberFormat="1" applyFont="1" applyFill="1" applyBorder="1" applyAlignment="1">
      <alignment vertical="center"/>
      <protection/>
    </xf>
    <xf numFmtId="0" fontId="64" fillId="0" borderId="0" xfId="57" applyFont="1" applyFill="1" applyBorder="1" applyAlignment="1">
      <alignment vertical="center"/>
      <protection/>
    </xf>
    <xf numFmtId="3" fontId="64" fillId="0" borderId="0" xfId="57" applyNumberFormat="1" applyFont="1" applyFill="1" applyBorder="1" applyAlignment="1">
      <alignment vertical="center"/>
      <protection/>
    </xf>
    <xf numFmtId="0" fontId="13" fillId="0" borderId="98" xfId="57" applyFont="1" applyFill="1" applyBorder="1" applyAlignment="1">
      <alignment vertical="center"/>
      <protection/>
    </xf>
    <xf numFmtId="3" fontId="13" fillId="0" borderId="98" xfId="57" applyNumberFormat="1" applyFont="1" applyFill="1" applyBorder="1" applyAlignment="1">
      <alignment vertical="center"/>
      <protection/>
    </xf>
    <xf numFmtId="0" fontId="13" fillId="0" borderId="47" xfId="57" applyFont="1" applyFill="1" applyBorder="1" applyAlignment="1">
      <alignment vertical="center"/>
      <protection/>
    </xf>
    <xf numFmtId="3" fontId="13" fillId="0" borderId="47" xfId="57" applyNumberFormat="1" applyFont="1" applyFill="1" applyBorder="1" applyAlignment="1">
      <alignment vertical="center"/>
      <protection/>
    </xf>
    <xf numFmtId="0" fontId="11" fillId="0" borderId="27" xfId="57" applyFont="1" applyFill="1" applyBorder="1" applyAlignment="1">
      <alignment horizontal="center" vertical="center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62" fillId="0" borderId="48" xfId="57" applyFont="1" applyFill="1" applyBorder="1" applyAlignment="1">
      <alignment horizontal="center" vertical="center"/>
      <protection/>
    </xf>
    <xf numFmtId="3" fontId="13" fillId="0" borderId="50" xfId="57" applyNumberFormat="1" applyFont="1" applyFill="1" applyBorder="1" applyAlignment="1">
      <alignment vertical="center"/>
      <protection/>
    </xf>
    <xf numFmtId="0" fontId="13" fillId="0" borderId="92" xfId="57" applyFont="1" applyFill="1" applyBorder="1" applyAlignment="1">
      <alignment horizontal="justify" vertical="center"/>
      <protection/>
    </xf>
    <xf numFmtId="3" fontId="13" fillId="0" borderId="50" xfId="57" applyNumberFormat="1" applyFont="1" applyFill="1" applyBorder="1" applyAlignment="1">
      <alignment horizontal="right" vertical="center"/>
      <protection/>
    </xf>
    <xf numFmtId="0" fontId="11" fillId="0" borderId="92" xfId="57" applyFont="1" applyFill="1" applyBorder="1" applyAlignment="1">
      <alignment horizontal="justify"/>
      <protection/>
    </xf>
    <xf numFmtId="3" fontId="11" fillId="0" borderId="28" xfId="57" applyNumberFormat="1" applyFont="1" applyFill="1" applyBorder="1" applyAlignment="1">
      <alignment horizontal="right"/>
      <protection/>
    </xf>
    <xf numFmtId="3" fontId="11" fillId="0" borderId="50" xfId="57" applyNumberFormat="1" applyFont="1" applyFill="1" applyBorder="1" applyAlignment="1">
      <alignment horizontal="right" vertical="center"/>
      <protection/>
    </xf>
    <xf numFmtId="0" fontId="13" fillId="0" borderId="85" xfId="57" applyFont="1" applyFill="1" applyBorder="1" applyAlignment="1">
      <alignment horizontal="justify" vertical="center"/>
      <protection/>
    </xf>
    <xf numFmtId="3" fontId="13" fillId="0" borderId="59" xfId="57" applyNumberFormat="1" applyFont="1" applyFill="1" applyBorder="1" applyAlignment="1">
      <alignment vertical="center"/>
      <protection/>
    </xf>
    <xf numFmtId="0" fontId="11" fillId="0" borderId="0" xfId="57" applyFont="1" applyFill="1" applyAlignment="1">
      <alignment horizontal="justify"/>
      <protection/>
    </xf>
    <xf numFmtId="0" fontId="11" fillId="0" borderId="0" xfId="58" applyFont="1" applyFill="1" applyAlignment="1">
      <alignment/>
      <protection/>
    </xf>
    <xf numFmtId="0" fontId="11" fillId="0" borderId="0" xfId="58" applyFont="1" applyFill="1" applyAlignment="1">
      <alignment horizontal="right"/>
      <protection/>
    </xf>
    <xf numFmtId="0" fontId="61" fillId="0" borderId="0" xfId="58" applyFont="1" applyFill="1" applyAlignment="1">
      <alignment horizontal="right"/>
      <protection/>
    </xf>
    <xf numFmtId="0" fontId="28" fillId="0" borderId="17" xfId="58" applyFont="1" applyFill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/>
      <protection/>
    </xf>
    <xf numFmtId="0" fontId="11" fillId="0" borderId="0" xfId="58" applyFont="1" applyFill="1" applyAlignment="1">
      <alignment vertical="center"/>
      <protection/>
    </xf>
    <xf numFmtId="0" fontId="27" fillId="0" borderId="13" xfId="58" applyFont="1" applyFill="1" applyBorder="1" applyAlignment="1">
      <alignment horizontal="center" vertical="center"/>
      <protection/>
    </xf>
    <xf numFmtId="0" fontId="27" fillId="0" borderId="36" xfId="58" applyFont="1" applyFill="1" applyBorder="1" applyAlignment="1">
      <alignment horizontal="left" vertical="center"/>
      <protection/>
    </xf>
    <xf numFmtId="3" fontId="27" fillId="0" borderId="19" xfId="58" applyNumberFormat="1" applyFont="1" applyFill="1" applyBorder="1" applyAlignment="1">
      <alignment horizontal="right" vertical="center"/>
      <protection/>
    </xf>
    <xf numFmtId="3" fontId="27" fillId="0" borderId="21" xfId="58" applyNumberFormat="1" applyFont="1" applyFill="1" applyBorder="1" applyAlignment="1">
      <alignment horizontal="right" vertical="center"/>
      <protection/>
    </xf>
    <xf numFmtId="3" fontId="13" fillId="0" borderId="0" xfId="58" applyNumberFormat="1" applyFont="1" applyFill="1" applyBorder="1" applyAlignment="1">
      <alignment horizontal="right" vertical="center"/>
      <protection/>
    </xf>
    <xf numFmtId="0" fontId="27" fillId="0" borderId="16" xfId="58" applyFont="1" applyFill="1" applyBorder="1" applyAlignment="1">
      <alignment horizontal="left" vertical="center" wrapText="1"/>
      <protection/>
    </xf>
    <xf numFmtId="3" fontId="27" fillId="0" borderId="16" xfId="58" applyNumberFormat="1" applyFont="1" applyFill="1" applyBorder="1" applyAlignment="1">
      <alignment horizontal="right" vertical="center"/>
      <protection/>
    </xf>
    <xf numFmtId="3" fontId="27" fillId="0" borderId="22" xfId="58" applyNumberFormat="1" applyFont="1" applyFill="1" applyBorder="1" applyAlignment="1">
      <alignment horizontal="right" vertical="center"/>
      <protection/>
    </xf>
    <xf numFmtId="3" fontId="11" fillId="0" borderId="0" xfId="58" applyNumberFormat="1" applyFont="1" applyFill="1" applyBorder="1" applyAlignment="1">
      <alignment vertical="center"/>
      <protection/>
    </xf>
    <xf numFmtId="0" fontId="27" fillId="0" borderId="16" xfId="58" applyFont="1" applyFill="1" applyBorder="1" applyAlignment="1">
      <alignment horizontal="left" vertical="center"/>
      <protection/>
    </xf>
    <xf numFmtId="0" fontId="27" fillId="0" borderId="23" xfId="58" applyFont="1" applyFill="1" applyBorder="1" applyAlignment="1">
      <alignment horizontal="left" vertical="center"/>
      <protection/>
    </xf>
    <xf numFmtId="3" fontId="27" fillId="0" borderId="23" xfId="58" applyNumberFormat="1" applyFont="1" applyFill="1" applyBorder="1" applyAlignment="1">
      <alignment horizontal="right" vertical="center"/>
      <protection/>
    </xf>
    <xf numFmtId="3" fontId="27" fillId="0" borderId="24" xfId="58" applyNumberFormat="1" applyFont="1" applyFill="1" applyBorder="1" applyAlignment="1">
      <alignment horizontal="right" vertical="center"/>
      <protection/>
    </xf>
    <xf numFmtId="3" fontId="13" fillId="0" borderId="0" xfId="58" applyNumberFormat="1" applyFont="1" applyFill="1" applyBorder="1" applyAlignment="1">
      <alignment vertical="center"/>
      <protection/>
    </xf>
    <xf numFmtId="0" fontId="27" fillId="0" borderId="92" xfId="58" applyFont="1" applyFill="1" applyBorder="1" applyAlignment="1">
      <alignment horizontal="center" vertical="center"/>
      <protection/>
    </xf>
    <xf numFmtId="0" fontId="27" fillId="0" borderId="10" xfId="58" applyFont="1" applyFill="1" applyBorder="1" applyAlignment="1">
      <alignment horizontal="center" vertical="center"/>
      <protection/>
    </xf>
    <xf numFmtId="0" fontId="28" fillId="0" borderId="11" xfId="58" applyFont="1" applyFill="1" applyBorder="1" applyAlignment="1">
      <alignment horizontal="center" vertical="center" wrapText="1"/>
      <protection/>
    </xf>
    <xf numFmtId="3" fontId="28" fillId="0" borderId="11" xfId="58" applyNumberFormat="1" applyFont="1" applyFill="1" applyBorder="1" applyAlignment="1">
      <alignment horizontal="right" vertical="center"/>
      <protection/>
    </xf>
    <xf numFmtId="3" fontId="28" fillId="0" borderId="12" xfId="58" applyNumberFormat="1" applyFont="1" applyFill="1" applyBorder="1" applyAlignment="1">
      <alignment horizontal="right" vertical="center"/>
      <protection/>
    </xf>
    <xf numFmtId="0" fontId="28" fillId="0" borderId="19" xfId="58" applyFont="1" applyFill="1" applyBorder="1" applyAlignment="1">
      <alignment horizontal="left" vertical="center" wrapText="1"/>
      <protection/>
    </xf>
    <xf numFmtId="0" fontId="28" fillId="0" borderId="16" xfId="58" applyFont="1" applyFill="1" applyBorder="1" applyAlignment="1">
      <alignment horizontal="left" vertical="center" wrapText="1"/>
      <protection/>
    </xf>
    <xf numFmtId="0" fontId="28" fillId="0" borderId="11" xfId="58" applyFont="1" applyFill="1" applyBorder="1" applyAlignment="1">
      <alignment horizontal="left" vertical="center"/>
      <protection/>
    </xf>
    <xf numFmtId="0" fontId="27" fillId="0" borderId="19" xfId="58" applyFont="1" applyFill="1" applyBorder="1" applyAlignment="1">
      <alignment horizontal="left" vertical="center"/>
      <protection/>
    </xf>
    <xf numFmtId="0" fontId="27" fillId="0" borderId="28" xfId="58" applyFont="1" applyFill="1" applyBorder="1" applyAlignment="1">
      <alignment horizontal="left" vertical="center"/>
      <protection/>
    </xf>
    <xf numFmtId="3" fontId="27" fillId="0" borderId="28" xfId="58" applyNumberFormat="1" applyFont="1" applyFill="1" applyBorder="1" applyAlignment="1">
      <alignment horizontal="right" vertical="center"/>
      <protection/>
    </xf>
    <xf numFmtId="3" fontId="27" fillId="0" borderId="50" xfId="58" applyNumberFormat="1" applyFont="1" applyFill="1" applyBorder="1" applyAlignment="1">
      <alignment horizontal="right" vertical="center"/>
      <protection/>
    </xf>
    <xf numFmtId="0" fontId="27" fillId="0" borderId="85" xfId="58" applyFont="1" applyFill="1" applyBorder="1" applyAlignment="1">
      <alignment horizontal="center" vertical="center"/>
      <protection/>
    </xf>
    <xf numFmtId="0" fontId="28" fillId="0" borderId="58" xfId="58" applyFont="1" applyFill="1" applyBorder="1" applyAlignment="1">
      <alignment horizontal="left" vertical="center"/>
      <protection/>
    </xf>
    <xf numFmtId="3" fontId="28" fillId="0" borderId="58" xfId="58" applyNumberFormat="1" applyFont="1" applyFill="1" applyBorder="1" applyAlignment="1">
      <alignment horizontal="right" vertical="center"/>
      <protection/>
    </xf>
    <xf numFmtId="3" fontId="28" fillId="0" borderId="59" xfId="58" applyNumberFormat="1" applyFont="1" applyFill="1" applyBorder="1" applyAlignment="1">
      <alignment horizontal="right" vertical="center"/>
      <protection/>
    </xf>
    <xf numFmtId="0" fontId="28" fillId="0" borderId="19" xfId="58" applyFont="1" applyFill="1" applyBorder="1" applyAlignment="1">
      <alignment horizontal="left" vertical="center"/>
      <protection/>
    </xf>
    <xf numFmtId="0" fontId="28" fillId="0" borderId="16" xfId="58" applyFont="1" applyFill="1" applyBorder="1" applyAlignment="1">
      <alignment horizontal="left" vertical="center"/>
      <protection/>
    </xf>
    <xf numFmtId="0" fontId="27" fillId="0" borderId="23" xfId="58" applyFont="1" applyFill="1" applyBorder="1" applyAlignment="1">
      <alignment horizontal="left" vertical="center" wrapText="1"/>
      <protection/>
    </xf>
    <xf numFmtId="0" fontId="28" fillId="0" borderId="58" xfId="58" applyFont="1" applyFill="1" applyBorder="1" applyAlignment="1">
      <alignment horizontal="center" vertical="center" wrapText="1"/>
      <protection/>
    </xf>
    <xf numFmtId="0" fontId="27" fillId="0" borderId="120" xfId="58" applyFont="1" applyFill="1" applyBorder="1" applyAlignment="1">
      <alignment horizontal="center" vertical="center"/>
      <protection/>
    </xf>
    <xf numFmtId="0" fontId="28" fillId="0" borderId="99" xfId="58" applyFont="1" applyFill="1" applyBorder="1" applyAlignment="1">
      <alignment horizontal="left" vertical="center"/>
      <protection/>
    </xf>
    <xf numFmtId="3" fontId="28" fillId="0" borderId="99" xfId="58" applyNumberFormat="1" applyFont="1" applyFill="1" applyBorder="1" applyAlignment="1">
      <alignment horizontal="right" vertical="center"/>
      <protection/>
    </xf>
    <xf numFmtId="3" fontId="28" fillId="0" borderId="65" xfId="58" applyNumberFormat="1" applyFont="1" applyFill="1" applyBorder="1" applyAlignment="1">
      <alignment horizontal="right" vertical="center"/>
      <protection/>
    </xf>
    <xf numFmtId="0" fontId="11" fillId="0" borderId="0" xfId="59" applyFont="1" applyFill="1" applyAlignment="1">
      <alignment/>
      <protection/>
    </xf>
    <xf numFmtId="0" fontId="61" fillId="0" borderId="0" xfId="59" applyFont="1" applyFill="1" applyAlignment="1">
      <alignment horizontal="right"/>
      <protection/>
    </xf>
    <xf numFmtId="0" fontId="11" fillId="0" borderId="0" xfId="59" applyFont="1" applyFill="1" applyBorder="1" applyAlignment="1">
      <alignment horizontal="center" vertical="center"/>
      <protection/>
    </xf>
    <xf numFmtId="0" fontId="11" fillId="0" borderId="0" xfId="59" applyFont="1" applyFill="1" applyAlignment="1">
      <alignment vertical="center"/>
      <protection/>
    </xf>
    <xf numFmtId="3" fontId="13" fillId="0" borderId="0" xfId="59" applyNumberFormat="1" applyFont="1" applyFill="1" applyBorder="1" applyAlignment="1">
      <alignment horizontal="right" vertical="center"/>
      <protection/>
    </xf>
    <xf numFmtId="3" fontId="11" fillId="0" borderId="0" xfId="59" applyNumberFormat="1" applyFont="1" applyFill="1" applyBorder="1" applyAlignment="1">
      <alignment vertical="center"/>
      <protection/>
    </xf>
    <xf numFmtId="3" fontId="13" fillId="0" borderId="0" xfId="59" applyNumberFormat="1" applyFont="1" applyFill="1" applyBorder="1" applyAlignment="1">
      <alignment vertical="center"/>
      <protection/>
    </xf>
    <xf numFmtId="0" fontId="11" fillId="0" borderId="106" xfId="59" applyFont="1" applyFill="1" applyBorder="1" applyAlignment="1">
      <alignment/>
      <protection/>
    </xf>
    <xf numFmtId="0" fontId="7" fillId="0" borderId="0" xfId="60" applyFont="1">
      <alignment/>
      <protection/>
    </xf>
    <xf numFmtId="0" fontId="65" fillId="0" borderId="0" xfId="60" applyFont="1" applyAlignment="1">
      <alignment horizontal="right"/>
      <protection/>
    </xf>
    <xf numFmtId="0" fontId="7" fillId="0" borderId="49" xfId="60" applyFont="1" applyBorder="1" applyAlignment="1">
      <alignment/>
      <protection/>
    </xf>
    <xf numFmtId="0" fontId="65" fillId="0" borderId="49" xfId="60" applyFont="1" applyBorder="1" applyAlignment="1">
      <alignment horizontal="center"/>
      <protection/>
    </xf>
    <xf numFmtId="0" fontId="65" fillId="0" borderId="70" xfId="60" applyFont="1" applyBorder="1" applyAlignment="1">
      <alignment horizontal="center"/>
      <protection/>
    </xf>
    <xf numFmtId="0" fontId="23" fillId="0" borderId="51" xfId="60" applyFont="1" applyBorder="1" applyAlignment="1">
      <alignment horizontal="center" vertical="center"/>
      <protection/>
    </xf>
    <xf numFmtId="0" fontId="65" fillId="0" borderId="51" xfId="60" applyFont="1" applyBorder="1" applyAlignment="1">
      <alignment horizontal="center"/>
      <protection/>
    </xf>
    <xf numFmtId="0" fontId="65" fillId="0" borderId="74" xfId="60" applyFont="1" applyBorder="1" applyAlignment="1">
      <alignment horizontal="center"/>
      <protection/>
    </xf>
    <xf numFmtId="0" fontId="7" fillId="0" borderId="53" xfId="60" applyFont="1" applyBorder="1" applyAlignment="1">
      <alignment/>
      <protection/>
    </xf>
    <xf numFmtId="0" fontId="65" fillId="0" borderId="53" xfId="60" applyFont="1" applyBorder="1" applyAlignment="1">
      <alignment horizontal="center"/>
      <protection/>
    </xf>
    <xf numFmtId="0" fontId="65" fillId="0" borderId="71" xfId="60" applyFont="1" applyBorder="1" applyAlignment="1">
      <alignment horizontal="center"/>
      <protection/>
    </xf>
    <xf numFmtId="0" fontId="7" fillId="0" borderId="121" xfId="60" applyFont="1" applyBorder="1" applyAlignment="1">
      <alignment horizontal="center" vertical="center"/>
      <protection/>
    </xf>
    <xf numFmtId="0" fontId="7" fillId="0" borderId="122" xfId="60" applyFont="1" applyFill="1" applyBorder="1" applyAlignment="1">
      <alignment wrapText="1"/>
      <protection/>
    </xf>
    <xf numFmtId="3" fontId="7" fillId="0" borderId="122" xfId="60" applyNumberFormat="1" applyFont="1" applyFill="1" applyBorder="1">
      <alignment/>
      <protection/>
    </xf>
    <xf numFmtId="3" fontId="7" fillId="0" borderId="123" xfId="60" applyNumberFormat="1" applyFont="1" applyFill="1" applyBorder="1">
      <alignment/>
      <protection/>
    </xf>
    <xf numFmtId="0" fontId="7" fillId="0" borderId="104" xfId="60" applyFont="1" applyBorder="1" applyAlignment="1">
      <alignment horizontal="center" vertical="center"/>
      <protection/>
    </xf>
    <xf numFmtId="0" fontId="7" fillId="0" borderId="124" xfId="60" applyFont="1" applyFill="1" applyBorder="1" applyAlignment="1">
      <alignment wrapText="1"/>
      <protection/>
    </xf>
    <xf numFmtId="3" fontId="7" fillId="0" borderId="124" xfId="60" applyNumberFormat="1" applyFont="1" applyFill="1" applyBorder="1">
      <alignment/>
      <protection/>
    </xf>
    <xf numFmtId="3" fontId="7" fillId="0" borderId="125" xfId="60" applyNumberFormat="1" applyFont="1" applyFill="1" applyBorder="1">
      <alignment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8" fillId="0" borderId="54" xfId="60" applyFont="1" applyFill="1" applyBorder="1" applyAlignment="1">
      <alignment horizontal="center" wrapText="1"/>
      <protection/>
    </xf>
    <xf numFmtId="3" fontId="8" fillId="0" borderId="54" xfId="60" applyNumberFormat="1" applyFont="1" applyFill="1" applyBorder="1">
      <alignment/>
      <protection/>
    </xf>
    <xf numFmtId="3" fontId="8" fillId="0" borderId="25" xfId="60" applyNumberFormat="1" applyFont="1" applyFill="1" applyBorder="1">
      <alignment/>
      <protection/>
    </xf>
    <xf numFmtId="0" fontId="7" fillId="0" borderId="121" xfId="60" applyFont="1" applyFill="1" applyBorder="1" applyAlignment="1">
      <alignment horizontal="center" vertical="center"/>
      <protection/>
    </xf>
    <xf numFmtId="0" fontId="7" fillId="0" borderId="126" xfId="60" applyFont="1" applyFill="1" applyBorder="1" applyAlignment="1">
      <alignment horizontal="center" vertical="center"/>
      <protection/>
    </xf>
    <xf numFmtId="0" fontId="7" fillId="0" borderId="34" xfId="60" applyFont="1" applyFill="1" applyBorder="1" applyAlignment="1">
      <alignment wrapText="1"/>
      <protection/>
    </xf>
    <xf numFmtId="3" fontId="7" fillId="0" borderId="81" xfId="60" applyNumberFormat="1" applyFont="1" applyFill="1" applyBorder="1">
      <alignment/>
      <protection/>
    </xf>
    <xf numFmtId="3" fontId="7" fillId="0" borderId="127" xfId="60" applyNumberFormat="1" applyFont="1" applyFill="1" applyBorder="1">
      <alignment/>
      <protection/>
    </xf>
    <xf numFmtId="0" fontId="7" fillId="0" borderId="128" xfId="60" applyFont="1" applyFill="1" applyBorder="1" applyAlignment="1">
      <alignment horizontal="center" vertical="center"/>
      <protection/>
    </xf>
    <xf numFmtId="0" fontId="7" fillId="0" borderId="32" xfId="60" applyFont="1" applyFill="1" applyBorder="1" applyAlignment="1">
      <alignment wrapText="1"/>
      <protection/>
    </xf>
    <xf numFmtId="0" fontId="8" fillId="0" borderId="11" xfId="60" applyFont="1" applyFill="1" applyBorder="1" applyAlignment="1">
      <alignment wrapText="1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7" fillId="0" borderId="30" xfId="60" applyFont="1" applyFill="1" applyBorder="1" applyAlignment="1">
      <alignment wrapText="1"/>
      <protection/>
    </xf>
    <xf numFmtId="3" fontId="7" fillId="0" borderId="30" xfId="60" applyNumberFormat="1" applyFont="1" applyFill="1" applyBorder="1">
      <alignment/>
      <protection/>
    </xf>
    <xf numFmtId="3" fontId="7" fillId="0" borderId="55" xfId="60" applyNumberFormat="1" applyFont="1" applyFill="1" applyBorder="1">
      <alignment/>
      <protection/>
    </xf>
    <xf numFmtId="0" fontId="7" fillId="0" borderId="96" xfId="60" applyFont="1" applyFill="1" applyBorder="1" applyAlignment="1">
      <alignment horizontal="center" vertical="center"/>
      <protection/>
    </xf>
    <xf numFmtId="0" fontId="7" fillId="0" borderId="44" xfId="60" applyFont="1" applyFill="1" applyBorder="1" applyAlignment="1">
      <alignment horizontal="center" wrapText="1"/>
      <protection/>
    </xf>
    <xf numFmtId="3" fontId="8" fillId="0" borderId="44" xfId="60" applyNumberFormat="1" applyFont="1" applyFill="1" applyBorder="1">
      <alignment/>
      <protection/>
    </xf>
    <xf numFmtId="3" fontId="8" fillId="0" borderId="129" xfId="60" applyNumberFormat="1" applyFont="1" applyFill="1" applyBorder="1">
      <alignment/>
      <protection/>
    </xf>
    <xf numFmtId="0" fontId="7" fillId="0" borderId="0" xfId="60" applyFont="1" applyBorder="1">
      <alignment/>
      <protection/>
    </xf>
    <xf numFmtId="0" fontId="7" fillId="0" borderId="111" xfId="60" applyFont="1" applyBorder="1">
      <alignment/>
      <protection/>
    </xf>
    <xf numFmtId="0" fontId="11" fillId="0" borderId="0" xfId="63" applyFont="1" applyFill="1" applyAlignment="1">
      <alignment/>
      <protection/>
    </xf>
    <xf numFmtId="0" fontId="61" fillId="0" borderId="0" xfId="63" applyFont="1" applyFill="1" applyAlignment="1">
      <alignment horizontal="right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11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8" fillId="0" borderId="92" xfId="63" applyFont="1" applyFill="1" applyBorder="1" applyAlignment="1">
      <alignment horizontal="left" vertical="center" wrapText="1"/>
      <protection/>
    </xf>
    <xf numFmtId="0" fontId="17" fillId="0" borderId="51" xfId="63" applyFont="1" applyFill="1" applyBorder="1" applyAlignment="1">
      <alignment horizontal="center" vertical="center" wrapText="1"/>
      <protection/>
    </xf>
    <xf numFmtId="0" fontId="17" fillId="0" borderId="50" xfId="63" applyFont="1" applyFill="1" applyBorder="1" applyAlignment="1">
      <alignment horizontal="center" vertical="center" wrapText="1"/>
      <protection/>
    </xf>
    <xf numFmtId="0" fontId="11" fillId="0" borderId="92" xfId="63" applyFont="1" applyFill="1" applyBorder="1" applyAlignment="1">
      <alignment/>
      <protection/>
    </xf>
    <xf numFmtId="0" fontId="11" fillId="0" borderId="51" xfId="63" applyFont="1" applyFill="1" applyBorder="1" applyAlignment="1">
      <alignment horizontal="center"/>
      <protection/>
    </xf>
    <xf numFmtId="0" fontId="62" fillId="0" borderId="50" xfId="63" applyFont="1" applyFill="1" applyBorder="1" applyAlignment="1">
      <alignment horizontal="center"/>
      <protection/>
    </xf>
    <xf numFmtId="0" fontId="11" fillId="0" borderId="0" xfId="63" applyFont="1" applyFill="1" applyBorder="1" applyAlignment="1">
      <alignment/>
      <protection/>
    </xf>
    <xf numFmtId="0" fontId="11" fillId="0" borderId="0" xfId="63" applyFont="1" applyFill="1" applyBorder="1" applyAlignment="1">
      <alignment horizontal="center"/>
      <protection/>
    </xf>
    <xf numFmtId="0" fontId="13" fillId="0" borderId="92" xfId="63" applyFont="1" applyFill="1" applyBorder="1" applyAlignment="1">
      <alignment horizontal="left" vertical="center"/>
      <protection/>
    </xf>
    <xf numFmtId="3" fontId="56" fillId="0" borderId="28" xfId="63" applyNumberFormat="1" applyFont="1" applyFill="1" applyBorder="1" applyAlignment="1">
      <alignment horizontal="right" vertical="center"/>
      <protection/>
    </xf>
    <xf numFmtId="3" fontId="56" fillId="0" borderId="50" xfId="63" applyNumberFormat="1" applyFont="1" applyFill="1" applyBorder="1" applyAlignment="1">
      <alignment horizontal="right" vertical="center"/>
      <protection/>
    </xf>
    <xf numFmtId="3" fontId="13" fillId="0" borderId="0" xfId="63" applyNumberFormat="1" applyFont="1" applyFill="1" applyBorder="1" applyAlignment="1">
      <alignment horizontal="right" vertical="center"/>
      <protection/>
    </xf>
    <xf numFmtId="0" fontId="13" fillId="0" borderId="92" xfId="63" applyFont="1" applyFill="1" applyBorder="1" applyAlignment="1">
      <alignment vertical="center"/>
      <protection/>
    </xf>
    <xf numFmtId="3" fontId="13" fillId="0" borderId="51" xfId="63" applyNumberFormat="1" applyFont="1" applyFill="1" applyBorder="1" applyAlignment="1">
      <alignment horizontal="right" vertical="center"/>
      <protection/>
    </xf>
    <xf numFmtId="3" fontId="63" fillId="0" borderId="50" xfId="63" applyNumberFormat="1" applyFont="1" applyFill="1" applyBorder="1" applyAlignment="1">
      <alignment horizontal="right" vertical="center"/>
      <protection/>
    </xf>
    <xf numFmtId="3" fontId="11" fillId="0" borderId="0" xfId="63" applyNumberFormat="1" applyFont="1" applyFill="1" applyBorder="1" applyAlignment="1">
      <alignment vertical="center"/>
      <protection/>
    </xf>
    <xf numFmtId="0" fontId="11" fillId="0" borderId="92" xfId="63" applyFont="1" applyFill="1" applyBorder="1" applyAlignment="1">
      <alignment horizontal="left" vertical="center"/>
      <protection/>
    </xf>
    <xf numFmtId="3" fontId="13" fillId="0" borderId="51" xfId="63" applyNumberFormat="1" applyFont="1" applyFill="1" applyBorder="1" applyAlignment="1">
      <alignment vertical="center"/>
      <protection/>
    </xf>
    <xf numFmtId="3" fontId="13" fillId="0" borderId="50" xfId="63" applyNumberFormat="1" applyFont="1" applyFill="1" applyBorder="1" applyAlignment="1">
      <alignment vertical="center"/>
      <protection/>
    </xf>
    <xf numFmtId="0" fontId="15" fillId="0" borderId="92" xfId="63" applyFont="1" applyFill="1" applyBorder="1" applyAlignment="1">
      <alignment horizontal="left" vertical="center"/>
      <protection/>
    </xf>
    <xf numFmtId="3" fontId="11" fillId="0" borderId="51" xfId="63" applyNumberFormat="1" applyFont="1" applyFill="1" applyBorder="1" applyAlignment="1">
      <alignment vertical="center"/>
      <protection/>
    </xf>
    <xf numFmtId="3" fontId="11" fillId="0" borderId="50" xfId="63" applyNumberFormat="1" applyFont="1" applyFill="1" applyBorder="1" applyAlignment="1">
      <alignment vertical="center"/>
      <protection/>
    </xf>
    <xf numFmtId="3" fontId="11" fillId="0" borderId="0" xfId="63" applyNumberFormat="1" applyFont="1" applyFill="1" applyBorder="1" applyAlignment="1">
      <alignment horizontal="center" vertical="center"/>
      <protection/>
    </xf>
    <xf numFmtId="0" fontId="11" fillId="0" borderId="92" xfId="63" applyFont="1" applyFill="1" applyBorder="1" applyAlignment="1">
      <alignment horizontal="left" vertical="center" wrapText="1"/>
      <protection/>
    </xf>
    <xf numFmtId="3" fontId="13" fillId="0" borderId="0" xfId="63" applyNumberFormat="1" applyFont="1" applyFill="1" applyBorder="1" applyAlignment="1">
      <alignment vertical="center"/>
      <protection/>
    </xf>
    <xf numFmtId="0" fontId="15" fillId="0" borderId="92" xfId="63" applyFont="1" applyFill="1" applyBorder="1" applyAlignment="1">
      <alignment horizontal="left" vertical="center" wrapText="1"/>
      <protection/>
    </xf>
    <xf numFmtId="3" fontId="56" fillId="0" borderId="28" xfId="63" applyNumberFormat="1" applyFont="1" applyFill="1" applyBorder="1" applyAlignment="1">
      <alignment vertical="center"/>
      <protection/>
    </xf>
    <xf numFmtId="3" fontId="56" fillId="0" borderId="50" xfId="63" applyNumberFormat="1" applyFont="1" applyFill="1" applyBorder="1" applyAlignment="1">
      <alignment vertical="center"/>
      <protection/>
    </xf>
    <xf numFmtId="3" fontId="13" fillId="0" borderId="51" xfId="63" applyNumberFormat="1" applyFont="1" applyFill="1" applyBorder="1" applyAlignment="1">
      <alignment vertical="center"/>
      <protection/>
    </xf>
    <xf numFmtId="3" fontId="13" fillId="0" borderId="50" xfId="63" applyNumberFormat="1" applyFont="1" applyFill="1" applyBorder="1" applyAlignment="1">
      <alignment vertical="center"/>
      <protection/>
    </xf>
    <xf numFmtId="0" fontId="11" fillId="0" borderId="92" xfId="63" applyFont="1" applyFill="1" applyBorder="1" applyAlignment="1">
      <alignment vertical="center"/>
      <protection/>
    </xf>
    <xf numFmtId="0" fontId="11" fillId="0" borderId="92" xfId="63" applyFont="1" applyFill="1" applyBorder="1" applyAlignment="1">
      <alignment horizontal="justify" vertical="center"/>
      <protection/>
    </xf>
    <xf numFmtId="3" fontId="13" fillId="0" borderId="51" xfId="63" applyNumberFormat="1" applyFont="1" applyFill="1" applyBorder="1" applyAlignment="1">
      <alignment horizontal="right" vertical="center"/>
      <protection/>
    </xf>
    <xf numFmtId="3" fontId="13" fillId="0" borderId="50" xfId="63" applyNumberFormat="1" applyFont="1" applyFill="1" applyBorder="1" applyAlignment="1">
      <alignment horizontal="right" vertical="center"/>
      <protection/>
    </xf>
    <xf numFmtId="0" fontId="13" fillId="0" borderId="85" xfId="63" applyFont="1" applyFill="1" applyBorder="1" applyAlignment="1">
      <alignment vertical="center"/>
      <protection/>
    </xf>
    <xf numFmtId="3" fontId="13" fillId="0" borderId="58" xfId="63" applyNumberFormat="1" applyFont="1" applyFill="1" applyBorder="1" applyAlignment="1">
      <alignment vertical="center"/>
      <protection/>
    </xf>
    <xf numFmtId="3" fontId="13" fillId="0" borderId="59" xfId="63" applyNumberFormat="1" applyFont="1" applyFill="1" applyBorder="1" applyAlignment="1">
      <alignment vertical="center"/>
      <protection/>
    </xf>
    <xf numFmtId="0" fontId="64" fillId="0" borderId="0" xfId="63" applyFont="1" applyFill="1" applyBorder="1" applyAlignment="1">
      <alignment vertical="center"/>
      <protection/>
    </xf>
    <xf numFmtId="3" fontId="64" fillId="0" borderId="0" xfId="63" applyNumberFormat="1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11" fillId="0" borderId="95" xfId="63" applyFont="1" applyFill="1" applyBorder="1" applyAlignment="1">
      <alignment vertical="center"/>
      <protection/>
    </xf>
    <xf numFmtId="0" fontId="18" fillId="0" borderId="51" xfId="63" applyFont="1" applyFill="1" applyBorder="1" applyAlignment="1">
      <alignment horizontal="center" vertical="center"/>
      <protection/>
    </xf>
    <xf numFmtId="0" fontId="11" fillId="0" borderId="51" xfId="63" applyFont="1" applyFill="1" applyBorder="1" applyAlignment="1">
      <alignment horizontal="center" vertical="center"/>
      <protection/>
    </xf>
    <xf numFmtId="0" fontId="62" fillId="0" borderId="50" xfId="63" applyFont="1" applyFill="1" applyBorder="1" applyAlignment="1">
      <alignment horizontal="center" vertical="center"/>
      <protection/>
    </xf>
    <xf numFmtId="3" fontId="13" fillId="0" borderId="28" xfId="63" applyNumberFormat="1" applyFont="1" applyFill="1" applyBorder="1" applyAlignment="1">
      <alignment vertical="center"/>
      <protection/>
    </xf>
    <xf numFmtId="3" fontId="64" fillId="0" borderId="51" xfId="63" applyNumberFormat="1" applyFont="1" applyFill="1" applyBorder="1" applyAlignment="1">
      <alignment vertical="center"/>
      <protection/>
    </xf>
    <xf numFmtId="3" fontId="64" fillId="0" borderId="50" xfId="63" applyNumberFormat="1" applyFont="1" applyFill="1" applyBorder="1" applyAlignment="1">
      <alignment vertical="center"/>
      <protection/>
    </xf>
    <xf numFmtId="3" fontId="11" fillId="0" borderId="28" xfId="63" applyNumberFormat="1" applyFont="1" applyFill="1" applyBorder="1" applyAlignment="1">
      <alignment vertical="center"/>
      <protection/>
    </xf>
    <xf numFmtId="3" fontId="11" fillId="0" borderId="51" xfId="63" applyNumberFormat="1" applyFont="1" applyFill="1" applyBorder="1" applyAlignment="1">
      <alignment horizontal="right" vertical="center"/>
      <protection/>
    </xf>
    <xf numFmtId="3" fontId="11" fillId="0" borderId="28" xfId="63" applyNumberFormat="1" applyFont="1" applyFill="1" applyBorder="1" applyAlignment="1">
      <alignment horizontal="right" vertical="center"/>
      <protection/>
    </xf>
    <xf numFmtId="3" fontId="11" fillId="0" borderId="51" xfId="63" applyNumberFormat="1" applyFont="1" applyFill="1" applyBorder="1" applyAlignment="1">
      <alignment horizontal="right"/>
      <protection/>
    </xf>
    <xf numFmtId="3" fontId="11" fillId="0" borderId="50" xfId="63" applyNumberFormat="1" applyFont="1" applyFill="1" applyBorder="1" applyAlignment="1">
      <alignment horizontal="right" vertical="center"/>
      <protection/>
    </xf>
    <xf numFmtId="0" fontId="13" fillId="0" borderId="92" xfId="63" applyFont="1" applyFill="1" applyBorder="1" applyAlignment="1">
      <alignment horizontal="justify" vertical="center"/>
      <protection/>
    </xf>
    <xf numFmtId="3" fontId="13" fillId="0" borderId="28" xfId="63" applyNumberFormat="1" applyFont="1" applyFill="1" applyBorder="1" applyAlignment="1">
      <alignment horizontal="right" vertical="center"/>
      <protection/>
    </xf>
    <xf numFmtId="3" fontId="13" fillId="0" borderId="50" xfId="63" applyNumberFormat="1" applyFont="1" applyFill="1" applyBorder="1" applyAlignment="1">
      <alignment horizontal="right" vertical="center"/>
      <protection/>
    </xf>
    <xf numFmtId="3" fontId="11" fillId="0" borderId="63" xfId="63" applyNumberFormat="1" applyFont="1" applyFill="1" applyBorder="1" applyAlignment="1">
      <alignment vertical="center"/>
      <protection/>
    </xf>
    <xf numFmtId="3" fontId="13" fillId="0" borderId="60" xfId="63" applyNumberFormat="1" applyFont="1" applyFill="1" applyBorder="1" applyAlignment="1">
      <alignment vertical="center"/>
      <protection/>
    </xf>
    <xf numFmtId="3" fontId="13" fillId="0" borderId="119" xfId="63" applyNumberFormat="1" applyFont="1" applyFill="1" applyBorder="1" applyAlignment="1">
      <alignment vertical="center"/>
      <protection/>
    </xf>
    <xf numFmtId="0" fontId="11" fillId="0" borderId="0" xfId="63" applyFont="1" applyFill="1" applyAlignment="1">
      <alignment horizontal="justify"/>
      <protection/>
    </xf>
    <xf numFmtId="3" fontId="63" fillId="0" borderId="50" xfId="63" applyNumberFormat="1" applyFont="1" applyFill="1" applyBorder="1" applyAlignment="1">
      <alignment vertical="center"/>
      <protection/>
    </xf>
    <xf numFmtId="0" fontId="11" fillId="0" borderId="96" xfId="63" applyFont="1" applyFill="1" applyBorder="1" applyAlignment="1">
      <alignment horizontal="justify" vertical="center"/>
      <protection/>
    </xf>
    <xf numFmtId="3" fontId="11" fillId="0" borderId="53" xfId="63" applyNumberFormat="1" applyFont="1" applyFill="1" applyBorder="1" applyAlignment="1">
      <alignment vertical="center"/>
      <protection/>
    </xf>
    <xf numFmtId="3" fontId="62" fillId="0" borderId="52" xfId="63" applyNumberFormat="1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justify" vertical="center"/>
      <protection/>
    </xf>
    <xf numFmtId="3" fontId="62" fillId="0" borderId="0" xfId="63" applyNumberFormat="1" applyFont="1" applyFill="1" applyBorder="1" applyAlignment="1">
      <alignment vertical="center"/>
      <protection/>
    </xf>
    <xf numFmtId="164" fontId="27" fillId="0" borderId="16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left" shrinkToFit="1"/>
    </xf>
    <xf numFmtId="0" fontId="11" fillId="0" borderId="0" xfId="0" applyFont="1" applyBorder="1" applyAlignment="1">
      <alignment horizontal="left" vertical="center" wrapText="1"/>
    </xf>
    <xf numFmtId="0" fontId="11" fillId="0" borderId="51" xfId="0" applyFont="1" applyBorder="1" applyAlignment="1">
      <alignment/>
    </xf>
    <xf numFmtId="0" fontId="13" fillId="0" borderId="44" xfId="64" applyFont="1" applyBorder="1" applyAlignment="1">
      <alignment vertical="center"/>
      <protection/>
    </xf>
    <xf numFmtId="3" fontId="27" fillId="0" borderId="50" xfId="0" applyNumberFormat="1" applyFont="1" applyFill="1" applyBorder="1" applyAlignment="1">
      <alignment horizontal="right" shrinkToFit="1"/>
    </xf>
    <xf numFmtId="3" fontId="60" fillId="0" borderId="23" xfId="0" applyNumberFormat="1" applyFont="1" applyFill="1" applyBorder="1" applyAlignment="1">
      <alignment horizontal="left" vertical="center" indent="1"/>
    </xf>
    <xf numFmtId="3" fontId="17" fillId="0" borderId="78" xfId="0" applyNumberFormat="1" applyFont="1" applyFill="1" applyBorder="1" applyAlignment="1">
      <alignment horizontal="center" vertical="center"/>
    </xf>
    <xf numFmtId="3" fontId="15" fillId="0" borderId="30" xfId="0" applyNumberFormat="1" applyFont="1" applyFill="1" applyBorder="1" applyAlignment="1">
      <alignment vertical="center"/>
    </xf>
    <xf numFmtId="3" fontId="59" fillId="0" borderId="30" xfId="0" applyNumberFormat="1" applyFont="1" applyFill="1" applyBorder="1" applyAlignment="1">
      <alignment vertical="center"/>
    </xf>
    <xf numFmtId="3" fontId="59" fillId="0" borderId="30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59" fillId="0" borderId="11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3" fontId="59" fillId="0" borderId="29" xfId="0" applyNumberFormat="1" applyFont="1" applyFill="1" applyBorder="1" applyAlignment="1">
      <alignment horizontal="right" vertical="center"/>
    </xf>
    <xf numFmtId="3" fontId="17" fillId="0" borderId="11" xfId="0" applyNumberFormat="1" applyFont="1" applyFill="1" applyBorder="1" applyAlignment="1">
      <alignment vertical="center"/>
    </xf>
    <xf numFmtId="3" fontId="59" fillId="0" borderId="30" xfId="0" applyNumberFormat="1" applyFont="1" applyFill="1" applyBorder="1" applyAlignment="1">
      <alignment vertical="center" shrinkToFit="1"/>
    </xf>
    <xf numFmtId="3" fontId="59" fillId="0" borderId="24" xfId="0" applyNumberFormat="1" applyFont="1" applyFill="1" applyBorder="1" applyAlignment="1">
      <alignment horizontal="right" vertical="center"/>
    </xf>
    <xf numFmtId="3" fontId="54" fillId="0" borderId="16" xfId="63" applyNumberFormat="1" applyFont="1" applyBorder="1" applyAlignment="1">
      <alignment horizontal="right"/>
      <protection/>
    </xf>
    <xf numFmtId="3" fontId="54" fillId="0" borderId="23" xfId="63" applyNumberFormat="1" applyFont="1" applyBorder="1" applyAlignment="1">
      <alignment horizontal="right"/>
      <protection/>
    </xf>
    <xf numFmtId="3" fontId="28" fillId="0" borderId="15" xfId="0" applyNumberFormat="1" applyFont="1" applyFill="1" applyBorder="1" applyAlignment="1">
      <alignment horizontal="center" vertical="center"/>
    </xf>
    <xf numFmtId="3" fontId="28" fillId="0" borderId="23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left" shrinkToFit="1"/>
    </xf>
    <xf numFmtId="0" fontId="28" fillId="0" borderId="116" xfId="0" applyFont="1" applyFill="1" applyBorder="1" applyAlignment="1">
      <alignment horizontal="right" shrinkToFit="1"/>
    </xf>
    <xf numFmtId="0" fontId="55" fillId="0" borderId="0" xfId="0" applyFont="1" applyAlignment="1">
      <alignment/>
    </xf>
    <xf numFmtId="3" fontId="54" fillId="0" borderId="40" xfId="63" applyNumberFormat="1" applyFont="1" applyBorder="1">
      <alignment/>
      <protection/>
    </xf>
    <xf numFmtId="3" fontId="54" fillId="0" borderId="107" xfId="63" applyNumberFormat="1" applyFont="1" applyBorder="1">
      <alignment/>
      <protection/>
    </xf>
    <xf numFmtId="3" fontId="54" fillId="0" borderId="30" xfId="63" applyNumberFormat="1" applyFont="1" applyBorder="1" applyAlignment="1">
      <alignment horizontal="right"/>
      <protection/>
    </xf>
    <xf numFmtId="0" fontId="54" fillId="0" borderId="14" xfId="63" applyFont="1" applyBorder="1" quotePrefix="1">
      <alignment/>
      <protection/>
    </xf>
    <xf numFmtId="3" fontId="54" fillId="0" borderId="16" xfId="63" applyNumberFormat="1" applyFont="1" applyFill="1" applyBorder="1">
      <alignment/>
      <protection/>
    </xf>
    <xf numFmtId="3" fontId="54" fillId="0" borderId="23" xfId="63" applyNumberFormat="1" applyFont="1" applyFill="1" applyBorder="1">
      <alignment/>
      <protection/>
    </xf>
    <xf numFmtId="3" fontId="54" fillId="0" borderId="30" xfId="63" applyNumberFormat="1" applyFont="1" applyFill="1" applyBorder="1">
      <alignment/>
      <protection/>
    </xf>
    <xf numFmtId="3" fontId="28" fillId="0" borderId="107" xfId="0" applyNumberFormat="1" applyFont="1" applyFill="1" applyBorder="1" applyAlignment="1">
      <alignment horizontal="right" vertical="center"/>
    </xf>
    <xf numFmtId="3" fontId="28" fillId="0" borderId="74" xfId="0" applyNumberFormat="1" applyFont="1" applyFill="1" applyBorder="1" applyAlignment="1">
      <alignment horizontal="right" vertical="center"/>
    </xf>
    <xf numFmtId="3" fontId="28" fillId="0" borderId="45" xfId="0" applyNumberFormat="1" applyFont="1" applyFill="1" applyBorder="1" applyAlignment="1">
      <alignment horizontal="right" vertical="center"/>
    </xf>
    <xf numFmtId="3" fontId="28" fillId="0" borderId="73" xfId="0" applyNumberFormat="1" applyFont="1" applyFill="1" applyBorder="1" applyAlignment="1">
      <alignment horizontal="right" vertical="center"/>
    </xf>
    <xf numFmtId="3" fontId="28" fillId="0" borderId="76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49" fillId="0" borderId="30" xfId="0" applyNumberFormat="1" applyFont="1" applyFill="1" applyBorder="1" applyAlignment="1">
      <alignment horizontal="right" vertical="center"/>
    </xf>
    <xf numFmtId="3" fontId="49" fillId="0" borderId="55" xfId="0" applyNumberFormat="1" applyFont="1" applyFill="1" applyBorder="1" applyAlignment="1">
      <alignment horizontal="right" vertical="center"/>
    </xf>
    <xf numFmtId="3" fontId="28" fillId="0" borderId="130" xfId="0" applyNumberFormat="1" applyFont="1" applyFill="1" applyBorder="1" applyAlignment="1">
      <alignment horizontal="right" vertical="center"/>
    </xf>
    <xf numFmtId="3" fontId="49" fillId="0" borderId="16" xfId="0" applyNumberFormat="1" applyFont="1" applyFill="1" applyBorder="1" applyAlignment="1">
      <alignment horizontal="right" vertical="center"/>
    </xf>
    <xf numFmtId="3" fontId="49" fillId="0" borderId="22" xfId="0" applyNumberFormat="1" applyFont="1" applyFill="1" applyBorder="1" applyAlignment="1">
      <alignment horizontal="right" vertical="center"/>
    </xf>
    <xf numFmtId="3" fontId="28" fillId="0" borderId="106" xfId="0" applyNumberFormat="1" applyFont="1" applyFill="1" applyBorder="1" applyAlignment="1">
      <alignment horizontal="right" vertical="center"/>
    </xf>
    <xf numFmtId="3" fontId="28" fillId="0" borderId="47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3" fontId="27" fillId="0" borderId="46" xfId="0" applyNumberFormat="1" applyFont="1" applyFill="1" applyBorder="1" applyAlignment="1">
      <alignment horizontal="right" vertical="center"/>
    </xf>
    <xf numFmtId="3" fontId="28" fillId="0" borderId="90" xfId="0" applyNumberFormat="1" applyFont="1" applyFill="1" applyBorder="1" applyAlignment="1">
      <alignment horizontal="right" vertical="center"/>
    </xf>
    <xf numFmtId="3" fontId="28" fillId="0" borderId="91" xfId="0" applyNumberFormat="1" applyFont="1" applyFill="1" applyBorder="1" applyAlignment="1">
      <alignment horizontal="right" vertical="center"/>
    </xf>
    <xf numFmtId="3" fontId="54" fillId="0" borderId="117" xfId="63" applyNumberFormat="1" applyFont="1" applyFill="1" applyBorder="1">
      <alignment/>
      <protection/>
    </xf>
    <xf numFmtId="3" fontId="11" fillId="0" borderId="0" xfId="0" applyNumberFormat="1" applyFont="1" applyBorder="1" applyAlignment="1">
      <alignment horizontal="left" vertical="center" wrapText="1"/>
    </xf>
    <xf numFmtId="3" fontId="60" fillId="0" borderId="16" xfId="0" applyNumberFormat="1" applyFont="1" applyFill="1" applyBorder="1" applyAlignment="1">
      <alignment vertical="center" wrapText="1"/>
    </xf>
    <xf numFmtId="3" fontId="59" fillId="0" borderId="0" xfId="0" applyNumberFormat="1" applyFont="1" applyFill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59" fillId="0" borderId="74" xfId="0" applyNumberFormat="1" applyFont="1" applyFill="1" applyBorder="1" applyAlignment="1">
      <alignment horizontal="center" vertical="center"/>
    </xf>
    <xf numFmtId="3" fontId="59" fillId="0" borderId="23" xfId="0" applyNumberFormat="1" applyFont="1" applyFill="1" applyBorder="1" applyAlignment="1">
      <alignment horizontal="center" vertical="center"/>
    </xf>
    <xf numFmtId="3" fontId="59" fillId="0" borderId="24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shrinkToFit="1"/>
    </xf>
    <xf numFmtId="3" fontId="56" fillId="0" borderId="12" xfId="63" applyNumberFormat="1" applyFont="1" applyBorder="1" applyAlignment="1">
      <alignment vertical="center"/>
      <protection/>
    </xf>
    <xf numFmtId="3" fontId="27" fillId="0" borderId="131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left" indent="1"/>
    </xf>
    <xf numFmtId="3" fontId="27" fillId="0" borderId="14" xfId="0" applyNumberFormat="1" applyFont="1" applyFill="1" applyBorder="1" applyAlignment="1">
      <alignment horizontal="right" vertical="center"/>
    </xf>
    <xf numFmtId="164" fontId="28" fillId="0" borderId="56" xfId="0" applyNumberFormat="1" applyFont="1" applyFill="1" applyBorder="1" applyAlignment="1">
      <alignment horizontal="right" vertical="center"/>
    </xf>
    <xf numFmtId="3" fontId="11" fillId="0" borderId="22" xfId="64" applyNumberFormat="1" applyFont="1" applyBorder="1">
      <alignment/>
      <protection/>
    </xf>
    <xf numFmtId="3" fontId="11" fillId="0" borderId="24" xfId="64" applyNumberFormat="1" applyFont="1" applyBorder="1">
      <alignment/>
      <protection/>
    </xf>
    <xf numFmtId="3" fontId="13" fillId="0" borderId="56" xfId="64" applyNumberFormat="1" applyFont="1" applyBorder="1" applyAlignment="1">
      <alignment vertical="center"/>
      <protection/>
    </xf>
    <xf numFmtId="3" fontId="59" fillId="0" borderId="67" xfId="0" applyNumberFormat="1" applyFont="1" applyFill="1" applyBorder="1" applyAlignment="1">
      <alignment horizontal="center" vertical="center"/>
    </xf>
    <xf numFmtId="3" fontId="59" fillId="0" borderId="117" xfId="0" applyNumberFormat="1" applyFont="1" applyFill="1" applyBorder="1" applyAlignment="1">
      <alignment horizontal="center" vertical="center"/>
    </xf>
    <xf numFmtId="3" fontId="59" fillId="0" borderId="70" xfId="0" applyNumberFormat="1" applyFont="1" applyFill="1" applyBorder="1" applyAlignment="1">
      <alignment horizontal="center" vertical="center"/>
    </xf>
    <xf numFmtId="3" fontId="59" fillId="0" borderId="132" xfId="0" applyNumberFormat="1" applyFont="1" applyFill="1" applyBorder="1" applyAlignment="1">
      <alignment horizontal="center" vertical="center"/>
    </xf>
    <xf numFmtId="3" fontId="59" fillId="0" borderId="71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left" indent="1" shrinkToFit="1"/>
    </xf>
    <xf numFmtId="49" fontId="27" fillId="0" borderId="28" xfId="0" applyNumberFormat="1" applyFont="1" applyFill="1" applyBorder="1" applyAlignment="1">
      <alignment horizontal="left" indent="1" shrinkToFit="1"/>
    </xf>
    <xf numFmtId="3" fontId="27" fillId="0" borderId="0" xfId="0" applyNumberFormat="1" applyFont="1" applyFill="1" applyAlignment="1">
      <alignment horizontal="left" vertical="center" indent="1"/>
    </xf>
    <xf numFmtId="49" fontId="27" fillId="0" borderId="19" xfId="0" applyNumberFormat="1" applyFont="1" applyFill="1" applyBorder="1" applyAlignment="1">
      <alignment horizontal="left" indent="1" shrinkToFit="1"/>
    </xf>
    <xf numFmtId="165" fontId="28" fillId="0" borderId="28" xfId="0" applyNumberFormat="1" applyFont="1" applyFill="1" applyBorder="1" applyAlignment="1">
      <alignment horizontal="center" vertical="center"/>
    </xf>
    <xf numFmtId="0" fontId="27" fillId="0" borderId="34" xfId="0" applyFont="1" applyBorder="1" applyAlignment="1">
      <alignment/>
    </xf>
    <xf numFmtId="0" fontId="46" fillId="0" borderId="34" xfId="0" applyFont="1" applyFill="1" applyBorder="1" applyAlignment="1">
      <alignment vertical="center" shrinkToFit="1"/>
    </xf>
    <xf numFmtId="0" fontId="27" fillId="0" borderId="28" xfId="0" applyFont="1" applyBorder="1" applyAlignment="1">
      <alignment/>
    </xf>
    <xf numFmtId="0" fontId="27" fillId="0" borderId="32" xfId="0" applyFont="1" applyBorder="1" applyAlignment="1">
      <alignment/>
    </xf>
    <xf numFmtId="49" fontId="27" fillId="0" borderId="34" xfId="0" applyNumberFormat="1" applyFont="1" applyFill="1" applyBorder="1" applyAlignment="1">
      <alignment vertical="center" wrapText="1"/>
    </xf>
    <xf numFmtId="49" fontId="27" fillId="0" borderId="133" xfId="0" applyNumberFormat="1" applyFont="1" applyFill="1" applyBorder="1" applyAlignment="1">
      <alignment vertical="center" shrinkToFit="1"/>
    </xf>
    <xf numFmtId="49" fontId="27" fillId="0" borderId="133" xfId="0" applyNumberFormat="1" applyFont="1" applyFill="1" applyBorder="1" applyAlignment="1">
      <alignment horizontal="justify" vertical="center" wrapText="1" shrinkToFit="1"/>
    </xf>
    <xf numFmtId="49" fontId="28" fillId="0" borderId="23" xfId="0" applyNumberFormat="1" applyFont="1" applyFill="1" applyBorder="1" applyAlignment="1">
      <alignment horizontal="left" shrinkToFit="1"/>
    </xf>
    <xf numFmtId="0" fontId="27" fillId="0" borderId="32" xfId="0" applyFont="1" applyFill="1" applyBorder="1" applyAlignment="1">
      <alignment shrinkToFit="1"/>
    </xf>
    <xf numFmtId="0" fontId="27" fillId="0" borderId="41" xfId="0" applyFont="1" applyFill="1" applyBorder="1" applyAlignment="1">
      <alignment shrinkToFit="1"/>
    </xf>
    <xf numFmtId="9" fontId="27" fillId="0" borderId="0" xfId="0" applyNumberFormat="1" applyFont="1" applyFill="1" applyAlignment="1">
      <alignment vertical="center"/>
    </xf>
    <xf numFmtId="3" fontId="70" fillId="0" borderId="50" xfId="0" applyNumberFormat="1" applyFont="1" applyFill="1" applyBorder="1" applyAlignment="1">
      <alignment horizontal="right" vertical="center" shrinkToFit="1"/>
    </xf>
    <xf numFmtId="3" fontId="70" fillId="0" borderId="58" xfId="0" applyNumberFormat="1" applyFont="1" applyFill="1" applyBorder="1" applyAlignment="1">
      <alignment horizontal="right" vertical="center" shrinkToFit="1"/>
    </xf>
    <xf numFmtId="3" fontId="70" fillId="0" borderId="59" xfId="0" applyNumberFormat="1" applyFont="1" applyFill="1" applyBorder="1" applyAlignment="1">
      <alignment horizontal="right" vertical="center" shrinkToFit="1"/>
    </xf>
    <xf numFmtId="3" fontId="60" fillId="0" borderId="19" xfId="0" applyNumberFormat="1" applyFont="1" applyFill="1" applyBorder="1" applyAlignment="1">
      <alignment horizontal="left" vertical="center" indent="1"/>
    </xf>
    <xf numFmtId="3" fontId="60" fillId="0" borderId="19" xfId="0" applyNumberFormat="1" applyFont="1" applyFill="1" applyBorder="1" applyAlignment="1">
      <alignment horizontal="right" vertical="center"/>
    </xf>
    <xf numFmtId="3" fontId="60" fillId="0" borderId="33" xfId="0" applyNumberFormat="1" applyFont="1" applyFill="1" applyBorder="1" applyAlignment="1">
      <alignment vertical="center"/>
    </xf>
    <xf numFmtId="3" fontId="59" fillId="0" borderId="33" xfId="0" applyNumberFormat="1" applyFont="1" applyFill="1" applyBorder="1" applyAlignment="1">
      <alignment vertical="center"/>
    </xf>
    <xf numFmtId="3" fontId="59" fillId="0" borderId="16" xfId="0" applyNumberFormat="1" applyFont="1" applyFill="1" applyBorder="1" applyAlignment="1">
      <alignment vertical="center"/>
    </xf>
    <xf numFmtId="3" fontId="60" fillId="0" borderId="23" xfId="0" applyNumberFormat="1" applyFont="1" applyFill="1" applyBorder="1" applyAlignment="1">
      <alignment vertical="center"/>
    </xf>
    <xf numFmtId="3" fontId="59" fillId="0" borderId="23" xfId="0" applyNumberFormat="1" applyFont="1" applyFill="1" applyBorder="1" applyAlignment="1">
      <alignment vertical="center"/>
    </xf>
    <xf numFmtId="3" fontId="15" fillId="0" borderId="77" xfId="0" applyNumberFormat="1" applyFont="1" applyFill="1" applyBorder="1" applyAlignment="1">
      <alignment horizontal="center" vertical="center"/>
    </xf>
    <xf numFmtId="3" fontId="60" fillId="0" borderId="19" xfId="0" applyNumberFormat="1" applyFont="1" applyFill="1" applyBorder="1" applyAlignment="1">
      <alignment vertical="center"/>
    </xf>
    <xf numFmtId="3" fontId="60" fillId="0" borderId="33" xfId="0" applyNumberFormat="1" applyFont="1" applyFill="1" applyBorder="1" applyAlignment="1">
      <alignment horizontal="left" vertical="center" wrapText="1" indent="1"/>
    </xf>
    <xf numFmtId="3" fontId="71" fillId="0" borderId="33" xfId="0" applyNumberFormat="1" applyFont="1" applyFill="1" applyBorder="1" applyAlignment="1">
      <alignment horizontal="right" vertical="center"/>
    </xf>
    <xf numFmtId="3" fontId="71" fillId="0" borderId="33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49" fontId="27" fillId="0" borderId="16" xfId="0" applyNumberFormat="1" applyFont="1" applyFill="1" applyBorder="1" applyAlignment="1">
      <alignment horizontal="left" vertical="center" indent="1" shrinkToFit="1"/>
    </xf>
    <xf numFmtId="3" fontId="28" fillId="0" borderId="92" xfId="0" applyNumberFormat="1" applyFont="1" applyFill="1" applyBorder="1" applyAlignment="1">
      <alignment horizontal="center" vertical="center"/>
    </xf>
    <xf numFmtId="3" fontId="70" fillId="0" borderId="73" xfId="0" applyNumberFormat="1" applyFont="1" applyFill="1" applyBorder="1" applyAlignment="1">
      <alignment horizontal="right" vertical="center" shrinkToFit="1"/>
    </xf>
    <xf numFmtId="3" fontId="70" fillId="0" borderId="16" xfId="0" applyNumberFormat="1" applyFont="1" applyFill="1" applyBorder="1" applyAlignment="1">
      <alignment horizontal="right" vertical="center" shrinkToFit="1"/>
    </xf>
    <xf numFmtId="0" fontId="69" fillId="0" borderId="14" xfId="0" applyFont="1" applyFill="1" applyBorder="1" applyAlignment="1">
      <alignment vertical="center" shrinkToFit="1"/>
    </xf>
    <xf numFmtId="3" fontId="69" fillId="0" borderId="16" xfId="0" applyNumberFormat="1" applyFont="1" applyFill="1" applyBorder="1" applyAlignment="1">
      <alignment horizontal="right" vertical="center" shrinkToFit="1"/>
    </xf>
    <xf numFmtId="0" fontId="70" fillId="0" borderId="14" xfId="0" applyFont="1" applyFill="1" applyBorder="1" applyAlignment="1">
      <alignment vertical="center" shrinkToFit="1"/>
    </xf>
    <xf numFmtId="3" fontId="70" fillId="0" borderId="22" xfId="0" applyNumberFormat="1" applyFont="1" applyFill="1" applyBorder="1" applyAlignment="1">
      <alignment horizontal="right" vertical="center" shrinkToFit="1"/>
    </xf>
    <xf numFmtId="3" fontId="70" fillId="0" borderId="76" xfId="0" applyNumberFormat="1" applyFont="1" applyFill="1" applyBorder="1" applyAlignment="1">
      <alignment horizontal="right" vertical="center" shrinkToFit="1"/>
    </xf>
    <xf numFmtId="49" fontId="69" fillId="0" borderId="16" xfId="0" applyNumberFormat="1" applyFont="1" applyFill="1" applyBorder="1" applyAlignment="1">
      <alignment horizontal="left" shrinkToFit="1"/>
    </xf>
    <xf numFmtId="3" fontId="69" fillId="0" borderId="16" xfId="0" applyNumberFormat="1" applyFont="1" applyFill="1" applyBorder="1" applyAlignment="1">
      <alignment horizontal="left" vertical="center" wrapText="1"/>
    </xf>
    <xf numFmtId="0" fontId="73" fillId="0" borderId="0" xfId="0" applyFont="1" applyFill="1" applyAlignment="1">
      <alignment vertical="center" shrinkToFit="1"/>
    </xf>
    <xf numFmtId="3" fontId="73" fillId="0" borderId="0" xfId="0" applyNumberFormat="1" applyFont="1" applyFill="1" applyAlignment="1">
      <alignment vertical="center" shrinkToFit="1"/>
    </xf>
    <xf numFmtId="0" fontId="69" fillId="0" borderId="0" xfId="0" applyFont="1" applyAlignment="1">
      <alignment/>
    </xf>
    <xf numFmtId="0" fontId="73" fillId="0" borderId="0" xfId="0" applyFont="1" applyFill="1" applyAlignment="1">
      <alignment horizontal="right" vertical="center" shrinkToFit="1"/>
    </xf>
    <xf numFmtId="0" fontId="73" fillId="0" borderId="134" xfId="0" applyFont="1" applyFill="1" applyBorder="1" applyAlignment="1">
      <alignment vertical="center" shrinkToFit="1"/>
    </xf>
    <xf numFmtId="3" fontId="73" fillId="0" borderId="135" xfId="0" applyNumberFormat="1" applyFont="1" applyFill="1" applyBorder="1" applyAlignment="1">
      <alignment horizontal="right" vertical="center" shrinkToFit="1"/>
    </xf>
    <xf numFmtId="3" fontId="72" fillId="0" borderId="130" xfId="0" applyNumberFormat="1" applyFont="1" applyFill="1" applyBorder="1" applyAlignment="1">
      <alignment horizontal="right" vertical="center" shrinkToFit="1"/>
    </xf>
    <xf numFmtId="0" fontId="73" fillId="0" borderId="82" xfId="0" applyFont="1" applyFill="1" applyBorder="1" applyAlignment="1">
      <alignment vertical="center" shrinkToFit="1"/>
    </xf>
    <xf numFmtId="3" fontId="73" fillId="0" borderId="136" xfId="0" applyNumberFormat="1" applyFont="1" applyFill="1" applyBorder="1" applyAlignment="1">
      <alignment horizontal="right" vertical="center" shrinkToFit="1"/>
    </xf>
    <xf numFmtId="0" fontId="73" fillId="0" borderId="82" xfId="0" applyFont="1" applyFill="1" applyBorder="1" applyAlignment="1">
      <alignment vertical="center"/>
    </xf>
    <xf numFmtId="0" fontId="69" fillId="0" borderId="82" xfId="0" applyFont="1" applyFill="1" applyBorder="1" applyAlignment="1">
      <alignment shrinkToFit="1"/>
    </xf>
    <xf numFmtId="0" fontId="73" fillId="0" borderId="0" xfId="0" applyFont="1" applyFill="1" applyBorder="1" applyAlignment="1">
      <alignment vertical="center" shrinkToFit="1"/>
    </xf>
    <xf numFmtId="3" fontId="73" fillId="0" borderId="137" xfId="0" applyNumberFormat="1" applyFont="1" applyFill="1" applyBorder="1" applyAlignment="1">
      <alignment horizontal="right" vertical="center" shrinkToFit="1"/>
    </xf>
    <xf numFmtId="3" fontId="72" fillId="0" borderId="74" xfId="0" applyNumberFormat="1" applyFont="1" applyFill="1" applyBorder="1" applyAlignment="1">
      <alignment horizontal="right" vertical="center" shrinkToFit="1"/>
    </xf>
    <xf numFmtId="3" fontId="72" fillId="0" borderId="138" xfId="0" applyNumberFormat="1" applyFont="1" applyFill="1" applyBorder="1" applyAlignment="1">
      <alignment horizontal="right" vertical="center"/>
    </xf>
    <xf numFmtId="3" fontId="72" fillId="0" borderId="119" xfId="0" applyNumberFormat="1" applyFont="1" applyFill="1" applyBorder="1" applyAlignment="1">
      <alignment horizontal="right" vertical="center"/>
    </xf>
    <xf numFmtId="0" fontId="73" fillId="0" borderId="47" xfId="0" applyFont="1" applyFill="1" applyBorder="1" applyAlignment="1">
      <alignment vertical="center" shrinkToFit="1"/>
    </xf>
    <xf numFmtId="0" fontId="73" fillId="0" borderId="139" xfId="0" applyFont="1" applyFill="1" applyBorder="1" applyAlignment="1">
      <alignment vertical="center" shrinkToFit="1"/>
    </xf>
    <xf numFmtId="0" fontId="73" fillId="0" borderId="140" xfId="0" applyFont="1" applyFill="1" applyBorder="1" applyAlignment="1">
      <alignment vertical="center" shrinkToFit="1"/>
    </xf>
    <xf numFmtId="0" fontId="73" fillId="0" borderId="71" xfId="0" applyFont="1" applyFill="1" applyBorder="1" applyAlignment="1">
      <alignment vertical="center" shrinkToFit="1"/>
    </xf>
    <xf numFmtId="0" fontId="73" fillId="0" borderId="106" xfId="0" applyFont="1" applyFill="1" applyBorder="1" applyAlignment="1">
      <alignment vertical="center" shrinkToFit="1"/>
    </xf>
    <xf numFmtId="0" fontId="73" fillId="0" borderId="47" xfId="0" applyFont="1" applyFill="1" applyBorder="1" applyAlignment="1">
      <alignment horizontal="right" vertical="center" shrinkToFit="1"/>
    </xf>
    <xf numFmtId="0" fontId="73" fillId="0" borderId="137" xfId="0" applyFont="1" applyFill="1" applyBorder="1" applyAlignment="1">
      <alignment vertical="center" shrinkToFit="1"/>
    </xf>
    <xf numFmtId="0" fontId="73" fillId="0" borderId="74" xfId="0" applyFont="1" applyFill="1" applyBorder="1" applyAlignment="1">
      <alignment vertical="center" shrinkToFit="1"/>
    </xf>
    <xf numFmtId="0" fontId="73" fillId="0" borderId="141" xfId="0" applyFont="1" applyFill="1" applyBorder="1" applyAlignment="1">
      <alignment vertical="center" wrapText="1"/>
    </xf>
    <xf numFmtId="3" fontId="69" fillId="0" borderId="82" xfId="0" applyNumberFormat="1" applyFont="1" applyFill="1" applyBorder="1" applyAlignment="1">
      <alignment horizontal="left" vertical="center" wrapText="1"/>
    </xf>
    <xf numFmtId="3" fontId="72" fillId="0" borderId="138" xfId="0" applyNumberFormat="1" applyFont="1" applyFill="1" applyBorder="1" applyAlignment="1">
      <alignment horizontal="right" vertical="center" shrinkToFit="1"/>
    </xf>
    <xf numFmtId="3" fontId="72" fillId="0" borderId="119" xfId="0" applyNumberFormat="1" applyFont="1" applyFill="1" applyBorder="1" applyAlignment="1">
      <alignment horizontal="right" vertical="center" shrinkToFit="1"/>
    </xf>
    <xf numFmtId="0" fontId="4" fillId="0" borderId="131" xfId="0" applyFont="1" applyFill="1" applyBorder="1" applyAlignment="1">
      <alignment vertical="center"/>
    </xf>
    <xf numFmtId="0" fontId="74" fillId="0" borderId="142" xfId="0" applyFont="1" applyFill="1" applyBorder="1" applyAlignment="1">
      <alignment vertical="center"/>
    </xf>
    <xf numFmtId="0" fontId="75" fillId="0" borderId="143" xfId="0" applyFont="1" applyFill="1" applyBorder="1" applyAlignment="1">
      <alignment horizontal="center" vertical="center"/>
    </xf>
    <xf numFmtId="0" fontId="75" fillId="0" borderId="14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5" fillId="0" borderId="145" xfId="0" applyFont="1" applyFill="1" applyBorder="1" applyAlignment="1">
      <alignment horizontal="center" vertical="center"/>
    </xf>
    <xf numFmtId="0" fontId="75" fillId="0" borderId="146" xfId="0" applyFont="1" applyFill="1" applyBorder="1" applyAlignment="1">
      <alignment horizontal="center" vertical="center"/>
    </xf>
    <xf numFmtId="0" fontId="69" fillId="0" borderId="0" xfId="0" applyFont="1" applyFill="1" applyAlignment="1">
      <alignment shrinkToFit="1"/>
    </xf>
    <xf numFmtId="0" fontId="69" fillId="0" borderId="0" xfId="0" applyFont="1" applyFill="1" applyAlignment="1">
      <alignment horizontal="justify" shrinkToFit="1"/>
    </xf>
    <xf numFmtId="0" fontId="70" fillId="0" borderId="0" xfId="0" applyFont="1" applyFill="1" applyAlignment="1">
      <alignment horizontal="justify" shrinkToFit="1"/>
    </xf>
    <xf numFmtId="0" fontId="69" fillId="0" borderId="0" xfId="0" applyFont="1" applyFill="1" applyAlignment="1">
      <alignment horizontal="right" shrinkToFit="1"/>
    </xf>
    <xf numFmtId="0" fontId="69" fillId="0" borderId="69" xfId="0" applyFont="1" applyFill="1" applyBorder="1" applyAlignment="1">
      <alignment shrinkToFit="1"/>
    </xf>
    <xf numFmtId="0" fontId="69" fillId="0" borderId="49" xfId="0" applyFont="1" applyFill="1" applyBorder="1" applyAlignment="1">
      <alignment shrinkToFit="1"/>
    </xf>
    <xf numFmtId="0" fontId="69" fillId="0" borderId="27" xfId="0" applyFont="1" applyFill="1" applyBorder="1" applyAlignment="1">
      <alignment horizontal="justify" shrinkToFit="1"/>
    </xf>
    <xf numFmtId="0" fontId="70" fillId="0" borderId="70" xfId="0" applyFont="1" applyFill="1" applyBorder="1" applyAlignment="1">
      <alignment horizontal="justify" shrinkToFit="1"/>
    </xf>
    <xf numFmtId="0" fontId="70" fillId="0" borderId="28" xfId="0" applyFont="1" applyFill="1" applyBorder="1" applyAlignment="1">
      <alignment horizontal="center" shrinkToFit="1"/>
    </xf>
    <xf numFmtId="0" fontId="69" fillId="0" borderId="68" xfId="0" applyFont="1" applyFill="1" applyBorder="1" applyAlignment="1">
      <alignment shrinkToFit="1"/>
    </xf>
    <xf numFmtId="0" fontId="69" fillId="0" borderId="53" xfId="0" applyFont="1" applyFill="1" applyBorder="1" applyAlignment="1">
      <alignment shrinkToFit="1"/>
    </xf>
    <xf numFmtId="0" fontId="69" fillId="0" borderId="29" xfId="0" applyFont="1" applyFill="1" applyBorder="1" applyAlignment="1">
      <alignment horizontal="justify" shrinkToFit="1"/>
    </xf>
    <xf numFmtId="0" fontId="70" fillId="0" borderId="71" xfId="0" applyFont="1" applyFill="1" applyBorder="1" applyAlignment="1">
      <alignment horizontal="justify" shrinkToFit="1"/>
    </xf>
    <xf numFmtId="0" fontId="70" fillId="0" borderId="16" xfId="0" applyFont="1" applyFill="1" applyBorder="1" applyAlignment="1">
      <alignment vertical="center" shrinkToFit="1"/>
    </xf>
    <xf numFmtId="3" fontId="69" fillId="0" borderId="16" xfId="0" applyNumberFormat="1" applyFont="1" applyFill="1" applyBorder="1" applyAlignment="1">
      <alignment horizontal="justify" vertical="center" shrinkToFit="1"/>
    </xf>
    <xf numFmtId="3" fontId="70" fillId="0" borderId="22" xfId="0" applyNumberFormat="1" applyFont="1" applyFill="1" applyBorder="1" applyAlignment="1">
      <alignment horizontal="justify" vertical="center" shrinkToFit="1"/>
    </xf>
    <xf numFmtId="0" fontId="69" fillId="0" borderId="14" xfId="0" applyFont="1" applyFill="1" applyBorder="1" applyAlignment="1">
      <alignment horizontal="right" shrinkToFit="1"/>
    </xf>
    <xf numFmtId="0" fontId="69" fillId="0" borderId="16" xfId="0" applyFont="1" applyFill="1" applyBorder="1" applyAlignment="1">
      <alignment shrinkToFit="1"/>
    </xf>
    <xf numFmtId="3" fontId="69" fillId="0" borderId="16" xfId="0" applyNumberFormat="1" applyFont="1" applyFill="1" applyBorder="1" applyAlignment="1">
      <alignment horizontal="right" shrinkToFit="1"/>
    </xf>
    <xf numFmtId="3" fontId="70" fillId="0" borderId="22" xfId="0" applyNumberFormat="1" applyFont="1" applyFill="1" applyBorder="1" applyAlignment="1">
      <alignment horizontal="right" shrinkToFit="1"/>
    </xf>
    <xf numFmtId="49" fontId="69" fillId="0" borderId="16" xfId="0" applyNumberFormat="1" applyFont="1" applyFill="1" applyBorder="1" applyAlignment="1">
      <alignment horizontal="center" shrinkToFit="1"/>
    </xf>
    <xf numFmtId="0" fontId="69" fillId="0" borderId="18" xfId="0" applyFont="1" applyFill="1" applyBorder="1" applyAlignment="1">
      <alignment horizontal="right" shrinkToFit="1"/>
    </xf>
    <xf numFmtId="49" fontId="69" fillId="0" borderId="28" xfId="0" applyNumberFormat="1" applyFont="1" applyFill="1" applyBorder="1" applyAlignment="1">
      <alignment horizontal="center" shrinkToFit="1"/>
    </xf>
    <xf numFmtId="3" fontId="69" fillId="0" borderId="28" xfId="0" applyNumberFormat="1" applyFont="1" applyFill="1" applyBorder="1" applyAlignment="1">
      <alignment horizontal="right" shrinkToFit="1"/>
    </xf>
    <xf numFmtId="3" fontId="70" fillId="0" borderId="24" xfId="0" applyNumberFormat="1" applyFont="1" applyFill="1" applyBorder="1" applyAlignment="1">
      <alignment horizontal="right" shrinkToFit="1"/>
    </xf>
    <xf numFmtId="0" fontId="69" fillId="0" borderId="93" xfId="0" applyFont="1" applyFill="1" applyBorder="1" applyAlignment="1">
      <alignment horizontal="right" shrinkToFit="1"/>
    </xf>
    <xf numFmtId="49" fontId="69" fillId="0" borderId="19" xfId="0" applyNumberFormat="1" applyFont="1" applyFill="1" applyBorder="1" applyAlignment="1">
      <alignment horizontal="center" shrinkToFit="1"/>
    </xf>
    <xf numFmtId="3" fontId="70" fillId="0" borderId="50" xfId="0" applyNumberFormat="1" applyFont="1" applyFill="1" applyBorder="1" applyAlignment="1">
      <alignment horizontal="right" shrinkToFit="1"/>
    </xf>
    <xf numFmtId="0" fontId="70" fillId="0" borderId="72" xfId="0" applyFont="1" applyFill="1" applyBorder="1" applyAlignment="1">
      <alignment vertical="center" shrinkToFit="1"/>
    </xf>
    <xf numFmtId="0" fontId="70" fillId="0" borderId="58" xfId="0" applyFont="1" applyFill="1" applyBorder="1" applyAlignment="1">
      <alignment horizontal="center" vertical="center" shrinkToFit="1"/>
    </xf>
    <xf numFmtId="0" fontId="69" fillId="0" borderId="89" xfId="0" applyFont="1" applyFill="1" applyBorder="1" applyAlignment="1">
      <alignment shrinkToFit="1"/>
    </xf>
    <xf numFmtId="49" fontId="70" fillId="0" borderId="16" xfId="0" applyNumberFormat="1" applyFont="1" applyFill="1" applyBorder="1" applyAlignment="1">
      <alignment horizontal="center" shrinkToFit="1"/>
    </xf>
    <xf numFmtId="3" fontId="70" fillId="0" borderId="45" xfId="0" applyNumberFormat="1" applyFont="1" applyFill="1" applyBorder="1" applyAlignment="1">
      <alignment horizontal="right" shrinkToFit="1"/>
    </xf>
    <xf numFmtId="3" fontId="70" fillId="0" borderId="62" xfId="0" applyNumberFormat="1" applyFont="1" applyFill="1" applyBorder="1" applyAlignment="1">
      <alignment horizontal="right" shrinkToFit="1"/>
    </xf>
    <xf numFmtId="0" fontId="69" fillId="0" borderId="14" xfId="0" applyFont="1" applyFill="1" applyBorder="1" applyAlignment="1">
      <alignment shrinkToFit="1"/>
    </xf>
    <xf numFmtId="3" fontId="70" fillId="0" borderId="16" xfId="0" applyNumberFormat="1" applyFont="1" applyFill="1" applyBorder="1" applyAlignment="1">
      <alignment horizontal="right" shrinkToFit="1"/>
    </xf>
    <xf numFmtId="0" fontId="69" fillId="0" borderId="96" xfId="0" applyFont="1" applyFill="1" applyBorder="1" applyAlignment="1">
      <alignment shrinkToFit="1"/>
    </xf>
    <xf numFmtId="49" fontId="70" fillId="0" borderId="33" xfId="0" applyNumberFormat="1" applyFont="1" applyFill="1" applyBorder="1" applyAlignment="1">
      <alignment horizontal="center" shrinkToFit="1"/>
    </xf>
    <xf numFmtId="3" fontId="70" fillId="0" borderId="33" xfId="0" applyNumberFormat="1" applyFont="1" applyFill="1" applyBorder="1" applyAlignment="1">
      <alignment horizontal="right" shrinkToFit="1"/>
    </xf>
    <xf numFmtId="3" fontId="70" fillId="0" borderId="56" xfId="0" applyNumberFormat="1" applyFont="1" applyFill="1" applyBorder="1" applyAlignment="1">
      <alignment horizontal="right" shrinkToFit="1"/>
    </xf>
    <xf numFmtId="0" fontId="70" fillId="0" borderId="0" xfId="0" applyFont="1" applyFill="1" applyAlignment="1">
      <alignment horizontal="right" shrinkToFit="1"/>
    </xf>
    <xf numFmtId="0" fontId="69" fillId="0" borderId="106" xfId="0" applyFont="1" applyFill="1" applyBorder="1" applyAlignment="1">
      <alignment shrinkToFit="1"/>
    </xf>
    <xf numFmtId="0" fontId="70" fillId="0" borderId="27" xfId="0" applyFont="1" applyFill="1" applyBorder="1" applyAlignment="1">
      <alignment horizontal="center" shrinkToFit="1"/>
    </xf>
    <xf numFmtId="0" fontId="69" fillId="0" borderId="47" xfId="0" applyFont="1" applyFill="1" applyBorder="1" applyAlignment="1">
      <alignment shrinkToFit="1"/>
    </xf>
    <xf numFmtId="0" fontId="70" fillId="0" borderId="78" xfId="0" applyFont="1" applyFill="1" applyBorder="1" applyAlignment="1">
      <alignment vertical="center" shrinkToFit="1"/>
    </xf>
    <xf numFmtId="0" fontId="70" fillId="0" borderId="30" xfId="0" applyFont="1" applyFill="1" applyBorder="1" applyAlignment="1">
      <alignment vertical="center" shrinkToFit="1"/>
    </xf>
    <xf numFmtId="0" fontId="69" fillId="0" borderId="30" xfId="0" applyFont="1" applyFill="1" applyBorder="1" applyAlignment="1">
      <alignment horizontal="justify" vertical="center" shrinkToFit="1"/>
    </xf>
    <xf numFmtId="0" fontId="70" fillId="0" borderId="55" xfId="0" applyFont="1" applyFill="1" applyBorder="1" applyAlignment="1">
      <alignment horizontal="justify" vertical="center" shrinkToFit="1"/>
    </xf>
    <xf numFmtId="0" fontId="69" fillId="0" borderId="97" xfId="0" applyFont="1" applyFill="1" applyBorder="1" applyAlignment="1">
      <alignment horizontal="right" shrinkToFit="1"/>
    </xf>
    <xf numFmtId="3" fontId="69" fillId="0" borderId="90" xfId="0" applyNumberFormat="1" applyFont="1" applyFill="1" applyBorder="1" applyAlignment="1">
      <alignment horizontal="right" shrinkToFit="1"/>
    </xf>
    <xf numFmtId="0" fontId="70" fillId="0" borderId="72" xfId="0" applyFont="1" applyFill="1" applyBorder="1" applyAlignment="1">
      <alignment horizontal="right" shrinkToFit="1"/>
    </xf>
    <xf numFmtId="0" fontId="70" fillId="0" borderId="58" xfId="0" applyFont="1" applyFill="1" applyBorder="1" applyAlignment="1">
      <alignment horizontal="center" shrinkToFit="1"/>
    </xf>
    <xf numFmtId="3" fontId="70" fillId="0" borderId="58" xfId="0" applyNumberFormat="1" applyFont="1" applyFill="1" applyBorder="1" applyAlignment="1">
      <alignment horizontal="right" shrinkToFit="1"/>
    </xf>
    <xf numFmtId="3" fontId="76" fillId="0" borderId="58" xfId="0" applyNumberFormat="1" applyFont="1" applyFill="1" applyBorder="1" applyAlignment="1">
      <alignment horizontal="right" shrinkToFit="1"/>
    </xf>
    <xf numFmtId="3" fontId="70" fillId="0" borderId="119" xfId="0" applyNumberFormat="1" applyFont="1" applyFill="1" applyBorder="1" applyAlignment="1">
      <alignment horizontal="right" shrinkToFit="1"/>
    </xf>
    <xf numFmtId="0" fontId="70" fillId="0" borderId="79" xfId="0" applyFont="1" applyFill="1" applyBorder="1" applyAlignment="1">
      <alignment horizontal="right" shrinkToFit="1"/>
    </xf>
    <xf numFmtId="49" fontId="70" fillId="0" borderId="73" xfId="0" applyNumberFormat="1" applyFont="1" applyFill="1" applyBorder="1" applyAlignment="1">
      <alignment horizontal="center" shrinkToFit="1"/>
    </xf>
    <xf numFmtId="0" fontId="70" fillId="0" borderId="14" xfId="0" applyFont="1" applyFill="1" applyBorder="1" applyAlignment="1">
      <alignment horizontal="right" shrinkToFit="1"/>
    </xf>
    <xf numFmtId="0" fontId="70" fillId="0" borderId="77" xfId="0" applyFont="1" applyFill="1" applyBorder="1" applyAlignment="1">
      <alignment horizontal="right" shrinkToFit="1"/>
    </xf>
    <xf numFmtId="49" fontId="70" fillId="0" borderId="29" xfId="0" applyNumberFormat="1" applyFont="1" applyFill="1" applyBorder="1" applyAlignment="1">
      <alignment horizontal="center" shrinkToFit="1"/>
    </xf>
    <xf numFmtId="0" fontId="70" fillId="0" borderId="0" xfId="0" applyFont="1" applyFill="1" applyBorder="1" applyAlignment="1">
      <alignment horizontal="right" shrinkToFit="1"/>
    </xf>
    <xf numFmtId="49" fontId="70" fillId="0" borderId="0" xfId="0" applyNumberFormat="1" applyFont="1" applyFill="1" applyBorder="1" applyAlignment="1">
      <alignment horizontal="center" shrinkToFit="1"/>
    </xf>
    <xf numFmtId="3" fontId="70" fillId="0" borderId="0" xfId="0" applyNumberFormat="1" applyFont="1" applyFill="1" applyBorder="1" applyAlignment="1">
      <alignment horizontal="right" shrinkToFit="1"/>
    </xf>
    <xf numFmtId="0" fontId="70" fillId="0" borderId="0" xfId="0" applyFont="1" applyFill="1" applyBorder="1" applyAlignment="1">
      <alignment vertical="center" shrinkToFit="1"/>
    </xf>
    <xf numFmtId="3" fontId="70" fillId="0" borderId="0" xfId="0" applyNumberFormat="1" applyFont="1" applyFill="1" applyBorder="1" applyAlignment="1">
      <alignment horizontal="right" vertical="center" shrinkToFit="1"/>
    </xf>
    <xf numFmtId="0" fontId="70" fillId="0" borderId="29" xfId="0" applyFont="1" applyFill="1" applyBorder="1" applyAlignment="1">
      <alignment horizontal="center" shrinkToFit="1"/>
    </xf>
    <xf numFmtId="49" fontId="69" fillId="0" borderId="28" xfId="0" applyNumberFormat="1" applyFont="1" applyFill="1" applyBorder="1" applyAlignment="1">
      <alignment horizontal="left" shrinkToFit="1"/>
    </xf>
    <xf numFmtId="0" fontId="70" fillId="0" borderId="93" xfId="0" applyFont="1" applyFill="1" applyBorder="1" applyAlignment="1">
      <alignment horizontal="right" shrinkToFit="1"/>
    </xf>
    <xf numFmtId="0" fontId="70" fillId="0" borderId="18" xfId="0" applyFont="1" applyFill="1" applyBorder="1" applyAlignment="1">
      <alignment horizontal="right" shrinkToFit="1"/>
    </xf>
    <xf numFmtId="0" fontId="69" fillId="0" borderId="77" xfId="0" applyFont="1" applyFill="1" applyBorder="1" applyAlignment="1">
      <alignment shrinkToFit="1"/>
    </xf>
    <xf numFmtId="0" fontId="70" fillId="0" borderId="18" xfId="0" applyFont="1" applyFill="1" applyBorder="1" applyAlignment="1">
      <alignment vertical="center" shrinkToFit="1"/>
    </xf>
    <xf numFmtId="0" fontId="70" fillId="0" borderId="28" xfId="0" applyFont="1" applyFill="1" applyBorder="1" applyAlignment="1">
      <alignment vertical="center" shrinkToFit="1"/>
    </xf>
    <xf numFmtId="0" fontId="69" fillId="0" borderId="28" xfId="0" applyFont="1" applyFill="1" applyBorder="1" applyAlignment="1">
      <alignment horizontal="justify" vertical="center" shrinkToFit="1"/>
    </xf>
    <xf numFmtId="0" fontId="70" fillId="0" borderId="74" xfId="0" applyFont="1" applyFill="1" applyBorder="1" applyAlignment="1">
      <alignment horizontal="justify" vertical="center" shrinkToFit="1"/>
    </xf>
    <xf numFmtId="0" fontId="69" fillId="0" borderId="15" xfId="0" applyFont="1" applyFill="1" applyBorder="1" applyAlignment="1">
      <alignment horizontal="right" shrinkToFit="1"/>
    </xf>
    <xf numFmtId="3" fontId="70" fillId="0" borderId="74" xfId="0" applyNumberFormat="1" applyFont="1" applyFill="1" applyBorder="1" applyAlignment="1">
      <alignment horizontal="right" shrinkToFit="1"/>
    </xf>
    <xf numFmtId="0" fontId="69" fillId="0" borderId="13" xfId="0" applyFont="1" applyFill="1" applyBorder="1" applyAlignment="1">
      <alignment horizontal="right" shrinkToFit="1"/>
    </xf>
    <xf numFmtId="0" fontId="70" fillId="0" borderId="75" xfId="0" applyFont="1" applyFill="1" applyBorder="1" applyAlignment="1">
      <alignment horizontal="right" shrinkToFit="1"/>
    </xf>
    <xf numFmtId="3" fontId="69" fillId="0" borderId="46" xfId="0" applyNumberFormat="1" applyFont="1" applyFill="1" applyBorder="1" applyAlignment="1">
      <alignment horizontal="right" shrinkToFit="1"/>
    </xf>
    <xf numFmtId="0" fontId="70" fillId="0" borderId="89" xfId="0" applyFont="1" applyFill="1" applyBorder="1" applyAlignment="1">
      <alignment vertical="center" shrinkToFit="1"/>
    </xf>
    <xf numFmtId="0" fontId="70" fillId="0" borderId="77" xfId="0" applyFont="1" applyFill="1" applyBorder="1" applyAlignment="1">
      <alignment vertical="center" shrinkToFit="1"/>
    </xf>
    <xf numFmtId="3" fontId="70" fillId="0" borderId="33" xfId="0" applyNumberFormat="1" applyFont="1" applyFill="1" applyBorder="1" applyAlignment="1">
      <alignment horizontal="right" vertical="center" shrinkToFit="1"/>
    </xf>
    <xf numFmtId="3" fontId="70" fillId="0" borderId="56" xfId="0" applyNumberFormat="1" applyFont="1" applyFill="1" applyBorder="1" applyAlignment="1">
      <alignment horizontal="right" vertical="center" shrinkToFit="1"/>
    </xf>
    <xf numFmtId="0" fontId="70" fillId="0" borderId="18" xfId="0" applyFont="1" applyFill="1" applyBorder="1" applyAlignment="1">
      <alignment horizontal="left" vertical="center" shrinkToFit="1"/>
    </xf>
    <xf numFmtId="3" fontId="69" fillId="0" borderId="27" xfId="0" applyNumberFormat="1" applyFont="1" applyFill="1" applyBorder="1" applyAlignment="1">
      <alignment horizontal="right" vertical="center" shrinkToFit="1"/>
    </xf>
    <xf numFmtId="3" fontId="70" fillId="0" borderId="70" xfId="0" applyNumberFormat="1" applyFont="1" applyFill="1" applyBorder="1" applyAlignment="1">
      <alignment horizontal="right" vertical="center" shrinkToFit="1"/>
    </xf>
    <xf numFmtId="0" fontId="69" fillId="0" borderId="14" xfId="0" applyFont="1" applyFill="1" applyBorder="1" applyAlignment="1">
      <alignment horizontal="right" vertical="center" shrinkToFit="1"/>
    </xf>
    <xf numFmtId="3" fontId="70" fillId="0" borderId="59" xfId="0" applyNumberFormat="1" applyFont="1" applyFill="1" applyBorder="1" applyAlignment="1">
      <alignment horizontal="right" shrinkToFit="1"/>
    </xf>
    <xf numFmtId="3" fontId="70" fillId="0" borderId="73" xfId="0" applyNumberFormat="1" applyFont="1" applyFill="1" applyBorder="1" applyAlignment="1">
      <alignment horizontal="right" shrinkToFit="1"/>
    </xf>
    <xf numFmtId="3" fontId="70" fillId="0" borderId="76" xfId="0" applyNumberFormat="1" applyFont="1" applyFill="1" applyBorder="1" applyAlignment="1">
      <alignment horizontal="right" shrinkToFit="1"/>
    </xf>
    <xf numFmtId="0" fontId="70" fillId="0" borderId="67" xfId="0" applyFont="1" applyFill="1" applyBorder="1" applyAlignment="1">
      <alignment vertical="center" shrinkToFit="1"/>
    </xf>
    <xf numFmtId="0" fontId="69" fillId="0" borderId="39" xfId="0" applyFont="1" applyFill="1" applyBorder="1" applyAlignment="1">
      <alignment shrinkToFit="1"/>
    </xf>
    <xf numFmtId="0" fontId="69" fillId="0" borderId="16" xfId="0" applyFont="1" applyFill="1" applyBorder="1" applyAlignment="1">
      <alignment horizontal="justify" vertical="center" shrinkToFit="1"/>
    </xf>
    <xf numFmtId="0" fontId="70" fillId="0" borderId="22" xfId="0" applyFont="1" applyFill="1" applyBorder="1" applyAlignment="1">
      <alignment horizontal="justify" vertical="center" shrinkToFit="1"/>
    </xf>
    <xf numFmtId="49" fontId="69" fillId="0" borderId="20" xfId="0" applyNumberFormat="1" applyFont="1" applyFill="1" applyBorder="1" applyAlignment="1">
      <alignment horizontal="center" shrinkToFit="1"/>
    </xf>
    <xf numFmtId="0" fontId="69" fillId="0" borderId="16" xfId="0" applyFont="1" applyFill="1" applyBorder="1" applyAlignment="1">
      <alignment horizontal="right" vertical="center" shrinkToFit="1"/>
    </xf>
    <xf numFmtId="49" fontId="69" fillId="0" borderId="39" xfId="0" applyNumberFormat="1" applyFont="1" applyFill="1" applyBorder="1" applyAlignment="1">
      <alignment horizontal="center" shrinkToFit="1"/>
    </xf>
    <xf numFmtId="0" fontId="70" fillId="0" borderId="22" xfId="0" applyFont="1" applyFill="1" applyBorder="1" applyAlignment="1">
      <alignment horizontal="right" vertical="center" shrinkToFit="1"/>
    </xf>
    <xf numFmtId="3" fontId="69" fillId="0" borderId="39" xfId="0" applyNumberFormat="1" applyFont="1" applyFill="1" applyBorder="1" applyAlignment="1">
      <alignment horizontal="left" vertical="center" wrapText="1"/>
    </xf>
    <xf numFmtId="3" fontId="76" fillId="0" borderId="16" xfId="0" applyNumberFormat="1" applyFont="1" applyFill="1" applyBorder="1" applyAlignment="1">
      <alignment horizontal="right" shrinkToFit="1"/>
    </xf>
    <xf numFmtId="0" fontId="69" fillId="0" borderId="15" xfId="0" applyFont="1" applyFill="1" applyBorder="1" applyAlignment="1">
      <alignment shrinkToFit="1"/>
    </xf>
    <xf numFmtId="49" fontId="69" fillId="0" borderId="0" xfId="0" applyNumberFormat="1" applyFont="1" applyFill="1" applyBorder="1" applyAlignment="1">
      <alignment horizontal="center" shrinkToFit="1"/>
    </xf>
    <xf numFmtId="3" fontId="69" fillId="0" borderId="23" xfId="0" applyNumberFormat="1" applyFont="1" applyFill="1" applyBorder="1" applyAlignment="1">
      <alignment horizontal="right" shrinkToFit="1"/>
    </xf>
    <xf numFmtId="0" fontId="69" fillId="0" borderId="23" xfId="0" applyFont="1" applyFill="1" applyBorder="1" applyAlignment="1">
      <alignment horizontal="right" shrinkToFit="1"/>
    </xf>
    <xf numFmtId="0" fontId="69" fillId="0" borderId="85" xfId="0" applyFont="1" applyFill="1" applyBorder="1" applyAlignment="1">
      <alignment shrinkToFit="1"/>
    </xf>
    <xf numFmtId="0" fontId="70" fillId="0" borderId="88" xfId="0" applyFont="1" applyFill="1" applyBorder="1" applyAlignment="1">
      <alignment horizontal="center" shrinkToFit="1"/>
    </xf>
    <xf numFmtId="0" fontId="69" fillId="0" borderId="58" xfId="0" applyFont="1" applyFill="1" applyBorder="1" applyAlignment="1">
      <alignment horizontal="right" shrinkToFit="1"/>
    </xf>
    <xf numFmtId="0" fontId="70" fillId="0" borderId="59" xfId="0" applyFont="1" applyFill="1" applyBorder="1" applyAlignment="1">
      <alignment horizontal="right" shrinkToFit="1"/>
    </xf>
    <xf numFmtId="0" fontId="70" fillId="0" borderId="13" xfId="0" applyFont="1" applyFill="1" applyBorder="1" applyAlignment="1">
      <alignment shrinkToFit="1"/>
    </xf>
    <xf numFmtId="49" fontId="70" fillId="0" borderId="20" xfId="0" applyNumberFormat="1" applyFont="1" applyFill="1" applyBorder="1" applyAlignment="1">
      <alignment horizontal="center" shrinkToFit="1"/>
    </xf>
    <xf numFmtId="3" fontId="70" fillId="0" borderId="19" xfId="0" applyNumberFormat="1" applyFont="1" applyFill="1" applyBorder="1" applyAlignment="1">
      <alignment horizontal="right" shrinkToFit="1"/>
    </xf>
    <xf numFmtId="3" fontId="70" fillId="0" borderId="21" xfId="0" applyNumberFormat="1" applyFont="1" applyFill="1" applyBorder="1" applyAlignment="1">
      <alignment horizontal="right" shrinkToFit="1"/>
    </xf>
    <xf numFmtId="0" fontId="70" fillId="0" borderId="14" xfId="0" applyFont="1" applyFill="1" applyBorder="1" applyAlignment="1">
      <alignment shrinkToFit="1"/>
    </xf>
    <xf numFmtId="49" fontId="70" fillId="0" borderId="39" xfId="0" applyNumberFormat="1" applyFont="1" applyFill="1" applyBorder="1" applyAlignment="1">
      <alignment horizontal="center" shrinkToFit="1"/>
    </xf>
    <xf numFmtId="0" fontId="70" fillId="0" borderId="77" xfId="0" applyFont="1" applyFill="1" applyBorder="1" applyAlignment="1">
      <alignment shrinkToFit="1"/>
    </xf>
    <xf numFmtId="49" fontId="70" fillId="0" borderId="132" xfId="0" applyNumberFormat="1" applyFont="1" applyFill="1" applyBorder="1" applyAlignment="1">
      <alignment horizontal="center" shrinkToFit="1"/>
    </xf>
    <xf numFmtId="3" fontId="28" fillId="0" borderId="0" xfId="0" applyNumberFormat="1" applyFont="1" applyFill="1" applyAlignment="1">
      <alignment horizontal="center" vertical="center"/>
    </xf>
    <xf numFmtId="3" fontId="27" fillId="0" borderId="30" xfId="0" applyNumberFormat="1" applyFont="1" applyFill="1" applyBorder="1" applyAlignment="1">
      <alignment vertical="center"/>
    </xf>
    <xf numFmtId="3" fontId="28" fillId="0" borderId="95" xfId="0" applyNumberFormat="1" applyFont="1" applyFill="1" applyBorder="1" applyAlignment="1">
      <alignment horizontal="left" vertical="center"/>
    </xf>
    <xf numFmtId="3" fontId="28" fillId="0" borderId="27" xfId="0" applyNumberFormat="1" applyFont="1" applyFill="1" applyBorder="1" applyAlignment="1">
      <alignment horizontal="left" vertical="center"/>
    </xf>
    <xf numFmtId="3" fontId="28" fillId="0" borderId="14" xfId="0" applyNumberFormat="1" applyFont="1" applyFill="1" applyBorder="1" applyAlignment="1">
      <alignment horizontal="left" vertical="center"/>
    </xf>
    <xf numFmtId="3" fontId="28" fillId="0" borderId="16" xfId="0" applyNumberFormat="1" applyFont="1" applyFill="1" applyBorder="1" applyAlignment="1">
      <alignment horizontal="left" vertical="center"/>
    </xf>
    <xf numFmtId="3" fontId="28" fillId="0" borderId="92" xfId="0" applyNumberFormat="1" applyFont="1" applyFill="1" applyBorder="1" applyAlignment="1">
      <alignment horizontal="left" vertical="center"/>
    </xf>
    <xf numFmtId="3" fontId="28" fillId="0" borderId="28" xfId="0" applyNumberFormat="1" applyFont="1" applyFill="1" applyBorder="1" applyAlignment="1">
      <alignment horizontal="left" vertical="center"/>
    </xf>
    <xf numFmtId="3" fontId="27" fillId="0" borderId="33" xfId="0" applyNumberFormat="1" applyFont="1" applyFill="1" applyBorder="1" applyAlignment="1">
      <alignment horizontal="center" vertical="center"/>
    </xf>
    <xf numFmtId="3" fontId="27" fillId="0" borderId="19" xfId="0" applyNumberFormat="1" applyFont="1" applyFill="1" applyBorder="1" applyAlignment="1">
      <alignment vertical="center"/>
    </xf>
    <xf numFmtId="3" fontId="27" fillId="0" borderId="77" xfId="0" applyNumberFormat="1" applyFont="1" applyFill="1" applyBorder="1" applyAlignment="1">
      <alignment horizontal="center" vertical="center"/>
    </xf>
    <xf numFmtId="3" fontId="27" fillId="0" borderId="19" xfId="0" applyNumberFormat="1" applyFont="1" applyFill="1" applyBorder="1" applyAlignment="1">
      <alignment horizontal="center" vertical="center"/>
    </xf>
    <xf numFmtId="3" fontId="28" fillId="0" borderId="33" xfId="0" applyNumberFormat="1" applyFont="1" applyFill="1" applyBorder="1" applyAlignment="1">
      <alignment vertical="center"/>
    </xf>
    <xf numFmtId="3" fontId="27" fillId="0" borderId="30" xfId="0" applyNumberFormat="1" applyFont="1" applyFill="1" applyBorder="1" applyAlignment="1">
      <alignment horizontal="center" vertical="center"/>
    </xf>
    <xf numFmtId="3" fontId="28" fillId="0" borderId="46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right" vertical="center" shrinkToFit="1"/>
    </xf>
    <xf numFmtId="3" fontId="27" fillId="0" borderId="0" xfId="0" applyNumberFormat="1" applyFont="1" applyFill="1" applyAlignment="1">
      <alignment horizontal="right" vertical="center" shrinkToFit="1"/>
    </xf>
    <xf numFmtId="3" fontId="28" fillId="0" borderId="0" xfId="0" applyNumberFormat="1" applyFont="1" applyFill="1" applyAlignment="1">
      <alignment horizontal="right" vertical="center" shrinkToFit="1"/>
    </xf>
    <xf numFmtId="3" fontId="28" fillId="0" borderId="147" xfId="0" applyNumberFormat="1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8" fillId="0" borderId="25" xfId="0" applyFont="1" applyFill="1" applyBorder="1" applyAlignment="1">
      <alignment horizontal="center" vertical="center" shrinkToFit="1"/>
    </xf>
    <xf numFmtId="49" fontId="28" fillId="0" borderId="67" xfId="0" applyNumberFormat="1" applyFont="1" applyFill="1" applyBorder="1" applyAlignment="1">
      <alignment horizontal="right" vertical="center" shrinkToFit="1"/>
    </xf>
    <xf numFmtId="3" fontId="27" fillId="0" borderId="74" xfId="0" applyNumberFormat="1" applyFont="1" applyFill="1" applyBorder="1" applyAlignment="1">
      <alignment horizontal="right" vertical="center" shrinkToFit="1"/>
    </xf>
    <xf numFmtId="3" fontId="28" fillId="0" borderId="74" xfId="0" applyNumberFormat="1" applyFont="1" applyFill="1" applyBorder="1" applyAlignment="1">
      <alignment horizontal="right" vertical="center" shrinkToFit="1"/>
    </xf>
    <xf numFmtId="0" fontId="27" fillId="0" borderId="67" xfId="0" applyFont="1" applyBorder="1" applyAlignment="1">
      <alignment horizontal="right" vertical="center" shrinkToFit="1"/>
    </xf>
    <xf numFmtId="3" fontId="27" fillId="0" borderId="31" xfId="0" applyNumberFormat="1" applyFont="1" applyFill="1" applyBorder="1" applyAlignment="1">
      <alignment horizontal="right" vertical="center" shrinkToFit="1"/>
    </xf>
    <xf numFmtId="3" fontId="27" fillId="0" borderId="130" xfId="0" applyNumberFormat="1" applyFont="1" applyFill="1" applyBorder="1" applyAlignment="1">
      <alignment horizontal="right" vertical="center" shrinkToFit="1"/>
    </xf>
    <xf numFmtId="3" fontId="27" fillId="0" borderId="34" xfId="0" applyNumberFormat="1" applyFont="1" applyBorder="1" applyAlignment="1">
      <alignment horizontal="right" vertical="center" shrinkToFit="1"/>
    </xf>
    <xf numFmtId="3" fontId="27" fillId="0" borderId="148" xfId="0" applyNumberFormat="1" applyFont="1" applyBorder="1" applyAlignment="1">
      <alignment/>
    </xf>
    <xf numFmtId="3" fontId="27" fillId="0" borderId="149" xfId="0" applyNumberFormat="1" applyFont="1" applyFill="1" applyBorder="1" applyAlignment="1">
      <alignment horizontal="right" vertical="center" shrinkToFit="1"/>
    </xf>
    <xf numFmtId="3" fontId="27" fillId="0" borderId="148" xfId="0" applyNumberFormat="1" applyFont="1" applyBorder="1" applyAlignment="1">
      <alignment horizontal="right" vertical="center" shrinkToFit="1"/>
    </xf>
    <xf numFmtId="3" fontId="27" fillId="0" borderId="26" xfId="0" applyNumberFormat="1" applyFont="1" applyBorder="1" applyAlignment="1">
      <alignment/>
    </xf>
    <xf numFmtId="3" fontId="27" fillId="0" borderId="148" xfId="0" applyNumberFormat="1" applyFont="1" applyFill="1" applyBorder="1" applyAlignment="1">
      <alignment horizontal="right" vertical="center" shrinkToFit="1"/>
    </xf>
    <xf numFmtId="3" fontId="27" fillId="0" borderId="26" xfId="0" applyNumberFormat="1" applyFont="1" applyFill="1" applyBorder="1" applyAlignment="1">
      <alignment horizontal="right" vertical="center" shrinkToFit="1"/>
    </xf>
    <xf numFmtId="3" fontId="27" fillId="0" borderId="67" xfId="0" applyNumberFormat="1" applyFont="1" applyBorder="1" applyAlignment="1">
      <alignment/>
    </xf>
    <xf numFmtId="3" fontId="27" fillId="0" borderId="67" xfId="0" applyNumberFormat="1" applyFont="1" applyFill="1" applyBorder="1" applyAlignment="1">
      <alignment horizontal="right" vertical="center" shrinkToFit="1"/>
    </xf>
    <xf numFmtId="3" fontId="27" fillId="0" borderId="37" xfId="0" applyNumberFormat="1" applyFont="1" applyFill="1" applyBorder="1" applyAlignment="1">
      <alignment horizontal="right" vertical="center" shrinkToFit="1"/>
    </xf>
    <xf numFmtId="0" fontId="27" fillId="0" borderId="26" xfId="0" applyFont="1" applyFill="1" applyBorder="1" applyAlignment="1">
      <alignment horizontal="right" vertical="center" shrinkToFit="1"/>
    </xf>
    <xf numFmtId="0" fontId="27" fillId="0" borderId="67" xfId="0" applyFont="1" applyFill="1" applyBorder="1" applyAlignment="1">
      <alignment horizontal="right" vertical="center" shrinkToFit="1"/>
    </xf>
    <xf numFmtId="3" fontId="27" fillId="0" borderId="37" xfId="0" applyNumberFormat="1" applyFont="1" applyBorder="1" applyAlignment="1">
      <alignment/>
    </xf>
    <xf numFmtId="3" fontId="27" fillId="0" borderId="150" xfId="0" applyNumberFormat="1" applyFont="1" applyFill="1" applyBorder="1" applyAlignment="1">
      <alignment horizontal="right" vertical="center" shrinkToFit="1"/>
    </xf>
    <xf numFmtId="0" fontId="27" fillId="0" borderId="34" xfId="0" applyFont="1" applyBorder="1" applyAlignment="1">
      <alignment horizontal="left" vertical="center" wrapText="1"/>
    </xf>
    <xf numFmtId="3" fontId="27" fillId="0" borderId="26" xfId="0" applyNumberFormat="1" applyFont="1" applyBorder="1" applyAlignment="1">
      <alignment vertical="center"/>
    </xf>
    <xf numFmtId="3" fontId="27" fillId="0" borderId="28" xfId="0" applyNumberFormat="1" applyFont="1" applyFill="1" applyBorder="1" applyAlignment="1">
      <alignment horizontal="right" vertical="center" shrinkToFit="1"/>
    </xf>
    <xf numFmtId="3" fontId="27" fillId="0" borderId="50" xfId="0" applyNumberFormat="1" applyFont="1" applyFill="1" applyBorder="1" applyAlignment="1">
      <alignment horizontal="right" vertical="center" shrinkToFit="1"/>
    </xf>
    <xf numFmtId="49" fontId="27" fillId="0" borderId="67" xfId="0" applyNumberFormat="1" applyFont="1" applyFill="1" applyBorder="1" applyAlignment="1">
      <alignment horizontal="right" vertical="center" shrinkToFit="1"/>
    </xf>
    <xf numFmtId="3" fontId="27" fillId="0" borderId="34" xfId="0" applyNumberFormat="1" applyFont="1" applyFill="1" applyBorder="1" applyAlignment="1">
      <alignment horizontal="right" vertical="center" shrinkToFit="1"/>
    </xf>
    <xf numFmtId="3" fontId="27" fillId="0" borderId="34" xfId="0" applyNumberFormat="1" applyFont="1" applyBorder="1" applyAlignment="1">
      <alignment/>
    </xf>
    <xf numFmtId="3" fontId="27" fillId="0" borderId="34" xfId="0" applyNumberFormat="1" applyFont="1" applyBorder="1" applyAlignment="1">
      <alignment vertical="center"/>
    </xf>
    <xf numFmtId="3" fontId="27" fillId="0" borderId="133" xfId="0" applyNumberFormat="1" applyFont="1" applyFill="1" applyBorder="1" applyAlignment="1">
      <alignment horizontal="right" vertical="center" shrinkToFit="1"/>
    </xf>
    <xf numFmtId="3" fontId="27" fillId="0" borderId="151" xfId="0" applyNumberFormat="1" applyFont="1" applyFill="1" applyBorder="1" applyAlignment="1">
      <alignment horizontal="right" vertical="center" shrinkToFit="1"/>
    </xf>
    <xf numFmtId="49" fontId="27" fillId="0" borderId="0" xfId="0" applyNumberFormat="1" applyFont="1" applyFill="1" applyBorder="1" applyAlignment="1">
      <alignment horizontal="right" vertical="center" indent="1" shrinkToFit="1"/>
    </xf>
    <xf numFmtId="3" fontId="27" fillId="0" borderId="127" xfId="0" applyNumberFormat="1" applyFont="1" applyFill="1" applyBorder="1" applyAlignment="1">
      <alignment horizontal="right" vertical="center" shrinkToFit="1"/>
    </xf>
    <xf numFmtId="3" fontId="27" fillId="0" borderId="26" xfId="0" applyNumberFormat="1" applyFont="1" applyFill="1" applyBorder="1" applyAlignment="1">
      <alignment horizontal="right" vertical="center"/>
    </xf>
    <xf numFmtId="3" fontId="27" fillId="0" borderId="26" xfId="0" applyNumberFormat="1" applyFont="1" applyFill="1" applyBorder="1" applyAlignment="1">
      <alignment horizontal="right" vertical="center" wrapText="1" shrinkToFit="1"/>
    </xf>
    <xf numFmtId="49" fontId="27" fillId="0" borderId="67" xfId="0" applyNumberFormat="1" applyFont="1" applyFill="1" applyBorder="1" applyAlignment="1">
      <alignment horizontal="right" vertical="center" wrapText="1" shrinkToFit="1"/>
    </xf>
    <xf numFmtId="3" fontId="27" fillId="0" borderId="0" xfId="0" applyNumberFormat="1" applyFont="1" applyAlignment="1">
      <alignment/>
    </xf>
    <xf numFmtId="0" fontId="27" fillId="0" borderId="97" xfId="0" applyFont="1" applyFill="1" applyBorder="1" applyAlignment="1">
      <alignment horizontal="right" shrinkToFit="1"/>
    </xf>
    <xf numFmtId="49" fontId="27" fillId="0" borderId="152" xfId="0" applyNumberFormat="1" applyFont="1" applyFill="1" applyBorder="1" applyAlignment="1">
      <alignment horizontal="center" shrinkToFit="1"/>
    </xf>
    <xf numFmtId="3" fontId="27" fillId="0" borderId="90" xfId="0" applyNumberFormat="1" applyFont="1" applyFill="1" applyBorder="1" applyAlignment="1">
      <alignment horizontal="right" shrinkToFit="1"/>
    </xf>
    <xf numFmtId="0" fontId="13" fillId="0" borderId="0" xfId="59" applyFont="1" applyFill="1" applyAlignment="1">
      <alignment vertical="center"/>
      <protection/>
    </xf>
    <xf numFmtId="0" fontId="27" fillId="0" borderId="121" xfId="59" applyFont="1" applyFill="1" applyBorder="1" applyAlignment="1">
      <alignment vertical="center"/>
      <protection/>
    </xf>
    <xf numFmtId="0" fontId="27" fillId="0" borderId="122" xfId="59" applyFont="1" applyFill="1" applyBorder="1" applyAlignment="1">
      <alignment vertical="center"/>
      <protection/>
    </xf>
    <xf numFmtId="0" fontId="27" fillId="0" borderId="92" xfId="59" applyFont="1" applyFill="1" applyBorder="1" applyAlignment="1">
      <alignment vertical="center"/>
      <protection/>
    </xf>
    <xf numFmtId="0" fontId="27" fillId="0" borderId="51" xfId="59" applyFont="1" applyFill="1" applyBorder="1" applyAlignment="1">
      <alignment vertical="center"/>
      <protection/>
    </xf>
    <xf numFmtId="0" fontId="27" fillId="0" borderId="51" xfId="59" applyFont="1" applyFill="1" applyBorder="1" applyAlignment="1">
      <alignment vertical="center" wrapText="1"/>
      <protection/>
    </xf>
    <xf numFmtId="0" fontId="27" fillId="0" borderId="104" xfId="59" applyFont="1" applyFill="1" applyBorder="1" applyAlignment="1">
      <alignment/>
      <protection/>
    </xf>
    <xf numFmtId="0" fontId="27" fillId="0" borderId="124" xfId="59" applyFont="1" applyFill="1" applyBorder="1" applyAlignment="1">
      <alignment/>
      <protection/>
    </xf>
    <xf numFmtId="0" fontId="27" fillId="0" borderId="92" xfId="59" applyFont="1" applyFill="1" applyBorder="1" applyAlignment="1">
      <alignment/>
      <protection/>
    </xf>
    <xf numFmtId="0" fontId="27" fillId="0" borderId="51" xfId="59" applyFont="1" applyFill="1" applyBorder="1" applyAlignment="1">
      <alignment/>
      <protection/>
    </xf>
    <xf numFmtId="0" fontId="27" fillId="0" borderId="103" xfId="59" applyFont="1" applyFill="1" applyBorder="1" applyAlignment="1">
      <alignment/>
      <protection/>
    </xf>
    <xf numFmtId="0" fontId="27" fillId="0" borderId="153" xfId="59" applyFont="1" applyFill="1" applyBorder="1" applyAlignment="1">
      <alignment/>
      <protection/>
    </xf>
    <xf numFmtId="0" fontId="28" fillId="0" borderId="95" xfId="59" applyFont="1" applyFill="1" applyBorder="1" applyAlignment="1">
      <alignment/>
      <protection/>
    </xf>
    <xf numFmtId="0" fontId="28" fillId="0" borderId="49" xfId="59" applyFont="1" applyFill="1" applyBorder="1" applyAlignment="1">
      <alignment/>
      <protection/>
    </xf>
    <xf numFmtId="0" fontId="28" fillId="0" borderId="92" xfId="59" applyFont="1" applyFill="1" applyBorder="1" applyAlignment="1">
      <alignment/>
      <protection/>
    </xf>
    <xf numFmtId="0" fontId="28" fillId="0" borderId="51" xfId="59" applyFont="1" applyFill="1" applyBorder="1" applyAlignment="1">
      <alignment/>
      <protection/>
    </xf>
    <xf numFmtId="0" fontId="28" fillId="0" borderId="96" xfId="59" applyFont="1" applyFill="1" applyBorder="1" applyAlignment="1">
      <alignment vertical="center"/>
      <protection/>
    </xf>
    <xf numFmtId="0" fontId="28" fillId="0" borderId="53" xfId="59" applyFont="1" applyFill="1" applyBorder="1" applyAlignment="1">
      <alignment vertical="center"/>
      <protection/>
    </xf>
    <xf numFmtId="0" fontId="28" fillId="0" borderId="96" xfId="59" applyFont="1" applyFill="1" applyBorder="1" applyAlignment="1">
      <alignment/>
      <protection/>
    </xf>
    <xf numFmtId="0" fontId="28" fillId="0" borderId="53" xfId="59" applyFont="1" applyFill="1" applyBorder="1" applyAlignment="1">
      <alignment/>
      <protection/>
    </xf>
    <xf numFmtId="0" fontId="27" fillId="0" borderId="77" xfId="59" applyFont="1" applyFill="1" applyBorder="1" applyAlignment="1">
      <alignment/>
      <protection/>
    </xf>
    <xf numFmtId="3" fontId="27" fillId="0" borderId="122" xfId="59" applyNumberFormat="1" applyFont="1" applyFill="1" applyBorder="1" applyAlignment="1">
      <alignment horizontal="right" vertical="center"/>
      <protection/>
    </xf>
    <xf numFmtId="3" fontId="28" fillId="0" borderId="154" xfId="59" applyNumberFormat="1" applyFont="1" applyFill="1" applyBorder="1" applyAlignment="1">
      <alignment horizontal="right" vertical="center"/>
      <protection/>
    </xf>
    <xf numFmtId="3" fontId="27" fillId="0" borderId="51" xfId="59" applyNumberFormat="1" applyFont="1" applyFill="1" applyBorder="1" applyAlignment="1">
      <alignment horizontal="right" vertical="center"/>
      <protection/>
    </xf>
    <xf numFmtId="3" fontId="28" fillId="0" borderId="50" xfId="59" applyNumberFormat="1" applyFont="1" applyFill="1" applyBorder="1" applyAlignment="1">
      <alignment horizontal="right" vertical="center"/>
      <protection/>
    </xf>
    <xf numFmtId="3" fontId="27" fillId="0" borderId="124" xfId="59" applyNumberFormat="1" applyFont="1" applyFill="1" applyBorder="1" applyAlignment="1">
      <alignment horizontal="right" vertical="center"/>
      <protection/>
    </xf>
    <xf numFmtId="3" fontId="28" fillId="0" borderId="150" xfId="59" applyNumberFormat="1" applyFont="1" applyFill="1" applyBorder="1" applyAlignment="1">
      <alignment horizontal="right" vertical="center"/>
      <protection/>
    </xf>
    <xf numFmtId="3" fontId="27" fillId="0" borderId="153" xfId="59" applyNumberFormat="1" applyFont="1" applyFill="1" applyBorder="1" applyAlignment="1">
      <alignment horizontal="right" vertical="center"/>
      <protection/>
    </xf>
    <xf numFmtId="3" fontId="28" fillId="0" borderId="155" xfId="59" applyNumberFormat="1" applyFont="1" applyFill="1" applyBorder="1" applyAlignment="1">
      <alignment horizontal="right" vertical="center"/>
      <protection/>
    </xf>
    <xf numFmtId="3" fontId="28" fillId="0" borderId="49" xfId="59" applyNumberFormat="1" applyFont="1" applyFill="1" applyBorder="1" applyAlignment="1">
      <alignment horizontal="right" vertical="center"/>
      <protection/>
    </xf>
    <xf numFmtId="3" fontId="28" fillId="0" borderId="48" xfId="59" applyNumberFormat="1" applyFont="1" applyFill="1" applyBorder="1" applyAlignment="1">
      <alignment horizontal="right" vertical="center"/>
      <protection/>
    </xf>
    <xf numFmtId="3" fontId="28" fillId="0" borderId="51" xfId="59" applyNumberFormat="1" applyFont="1" applyFill="1" applyBorder="1" applyAlignment="1">
      <alignment horizontal="right" vertical="center"/>
      <protection/>
    </xf>
    <xf numFmtId="3" fontId="28" fillId="0" borderId="53" xfId="59" applyNumberFormat="1" applyFont="1" applyFill="1" applyBorder="1" applyAlignment="1">
      <alignment horizontal="right" vertical="center"/>
      <protection/>
    </xf>
    <xf numFmtId="3" fontId="28" fillId="0" borderId="52" xfId="59" applyNumberFormat="1" applyFont="1" applyFill="1" applyBorder="1" applyAlignment="1">
      <alignment horizontal="right" vertical="center"/>
      <protection/>
    </xf>
    <xf numFmtId="0" fontId="28" fillId="0" borderId="49" xfId="59" applyFont="1" applyBorder="1" applyAlignment="1">
      <alignment horizontal="right" vertical="center"/>
      <protection/>
    </xf>
    <xf numFmtId="0" fontId="28" fillId="0" borderId="49" xfId="64" applyFont="1" applyBorder="1" applyAlignment="1">
      <alignment horizontal="right" vertical="center"/>
      <protection/>
    </xf>
    <xf numFmtId="0" fontId="28" fillId="0" borderId="27" xfId="59" applyFont="1" applyBorder="1" applyAlignment="1">
      <alignment horizontal="right" vertical="center"/>
      <protection/>
    </xf>
    <xf numFmtId="0" fontId="28" fillId="0" borderId="48" xfId="64" applyFont="1" applyBorder="1" applyAlignment="1">
      <alignment horizontal="right" vertical="center"/>
      <protection/>
    </xf>
    <xf numFmtId="3" fontId="28" fillId="0" borderId="51" xfId="59" applyNumberFormat="1" applyFont="1" applyBorder="1" applyAlignment="1">
      <alignment horizontal="right" vertical="center"/>
      <protection/>
    </xf>
    <xf numFmtId="0" fontId="28" fillId="0" borderId="53" xfId="59" applyFont="1" applyBorder="1" applyAlignment="1">
      <alignment horizontal="right" vertical="center"/>
      <protection/>
    </xf>
    <xf numFmtId="0" fontId="28" fillId="0" borderId="53" xfId="64" applyFont="1" applyBorder="1" applyAlignment="1">
      <alignment horizontal="right" vertical="center"/>
      <protection/>
    </xf>
    <xf numFmtId="0" fontId="28" fillId="0" borderId="29" xfId="59" applyFont="1" applyBorder="1" applyAlignment="1">
      <alignment horizontal="right" vertical="center"/>
      <protection/>
    </xf>
    <xf numFmtId="0" fontId="28" fillId="0" borderId="52" xfId="64" applyFont="1" applyBorder="1" applyAlignment="1">
      <alignment horizontal="right" vertical="center"/>
      <protection/>
    </xf>
    <xf numFmtId="3" fontId="77" fillId="0" borderId="74" xfId="59" applyNumberFormat="1" applyFont="1" applyFill="1" applyBorder="1" applyAlignment="1">
      <alignment horizontal="right" vertical="center"/>
      <protection/>
    </xf>
    <xf numFmtId="3" fontId="77" fillId="0" borderId="50" xfId="59" applyNumberFormat="1" applyFont="1" applyFill="1" applyBorder="1" applyAlignment="1">
      <alignment horizontal="right" vertical="center"/>
      <protection/>
    </xf>
    <xf numFmtId="3" fontId="28" fillId="0" borderId="74" xfId="59" applyNumberFormat="1" applyFont="1" applyFill="1" applyBorder="1" applyAlignment="1">
      <alignment horizontal="right" vertical="center"/>
      <protection/>
    </xf>
    <xf numFmtId="3" fontId="27" fillId="0" borderId="33" xfId="59" applyNumberFormat="1" applyFont="1" applyFill="1" applyBorder="1" applyAlignment="1">
      <alignment horizontal="right" vertical="center"/>
      <protection/>
    </xf>
    <xf numFmtId="0" fontId="27" fillId="0" borderId="33" xfId="59" applyFont="1" applyFill="1" applyBorder="1" applyAlignment="1">
      <alignment wrapText="1"/>
      <protection/>
    </xf>
    <xf numFmtId="3" fontId="27" fillId="0" borderId="29" xfId="59" applyNumberFormat="1" applyFont="1" applyFill="1" applyBorder="1" applyAlignment="1">
      <alignment horizontal="right" vertical="center"/>
      <protection/>
    </xf>
    <xf numFmtId="3" fontId="27" fillId="0" borderId="52" xfId="59" applyNumberFormat="1" applyFont="1" applyFill="1" applyBorder="1" applyAlignment="1">
      <alignment horizontal="right" vertical="center"/>
      <protection/>
    </xf>
    <xf numFmtId="0" fontId="27" fillId="0" borderId="14" xfId="59" applyFont="1" applyFill="1" applyBorder="1" applyAlignment="1">
      <alignment/>
      <protection/>
    </xf>
    <xf numFmtId="0" fontId="27" fillId="0" borderId="16" xfId="59" applyFont="1" applyFill="1" applyBorder="1" applyAlignment="1">
      <alignment wrapText="1"/>
      <protection/>
    </xf>
    <xf numFmtId="3" fontId="27" fillId="0" borderId="16" xfId="59" applyNumberFormat="1" applyFont="1" applyFill="1" applyBorder="1" applyAlignment="1">
      <alignment horizontal="right" vertical="center"/>
      <protection/>
    </xf>
    <xf numFmtId="3" fontId="27" fillId="0" borderId="22" xfId="59" applyNumberFormat="1" applyFont="1" applyFill="1" applyBorder="1" applyAlignment="1">
      <alignment horizontal="right" vertical="center"/>
      <protection/>
    </xf>
    <xf numFmtId="0" fontId="78" fillId="0" borderId="0" xfId="0" applyFont="1" applyFill="1" applyAlignment="1">
      <alignment horizontal="left" shrinkToFit="1"/>
    </xf>
    <xf numFmtId="0" fontId="79" fillId="0" borderId="0" xfId="0" applyFont="1" applyFill="1" applyAlignment="1">
      <alignment horizontal="left" shrinkToFit="1"/>
    </xf>
    <xf numFmtId="0" fontId="80" fillId="0" borderId="0" xfId="64" applyFont="1">
      <alignment/>
      <protection/>
    </xf>
    <xf numFmtId="0" fontId="80" fillId="0" borderId="0" xfId="64" applyFont="1" applyAlignment="1">
      <alignment horizontal="right"/>
      <protection/>
    </xf>
    <xf numFmtId="0" fontId="80" fillId="0" borderId="30" xfId="64" applyFont="1" applyBorder="1" applyAlignment="1">
      <alignment horizontal="center" vertical="center" wrapText="1"/>
      <protection/>
    </xf>
    <xf numFmtId="0" fontId="80" fillId="0" borderId="55" xfId="64" applyFont="1" applyBorder="1" applyAlignment="1">
      <alignment horizontal="center" vertical="center" wrapText="1"/>
      <protection/>
    </xf>
    <xf numFmtId="0" fontId="80" fillId="0" borderId="14" xfId="64" applyFont="1" applyBorder="1">
      <alignment/>
      <protection/>
    </xf>
    <xf numFmtId="3" fontId="80" fillId="0" borderId="16" xfId="64" applyNumberFormat="1" applyFont="1" applyBorder="1">
      <alignment/>
      <protection/>
    </xf>
    <xf numFmtId="3" fontId="80" fillId="0" borderId="22" xfId="64" applyNumberFormat="1" applyFont="1" applyBorder="1">
      <alignment/>
      <protection/>
    </xf>
    <xf numFmtId="0" fontId="80" fillId="0" borderId="15" xfId="64" applyFont="1" applyBorder="1">
      <alignment/>
      <protection/>
    </xf>
    <xf numFmtId="3" fontId="80" fillId="0" borderId="23" xfId="64" applyNumberFormat="1" applyFont="1" applyBorder="1">
      <alignment/>
      <protection/>
    </xf>
    <xf numFmtId="3" fontId="80" fillId="0" borderId="24" xfId="64" applyNumberFormat="1" applyFont="1" applyBorder="1">
      <alignment/>
      <protection/>
    </xf>
    <xf numFmtId="3" fontId="80" fillId="0" borderId="99" xfId="64" applyNumberFormat="1" applyFont="1" applyBorder="1">
      <alignment/>
      <protection/>
    </xf>
    <xf numFmtId="3" fontId="80" fillId="0" borderId="65" xfId="64" applyNumberFormat="1" applyFont="1" applyBorder="1">
      <alignment/>
      <protection/>
    </xf>
    <xf numFmtId="3" fontId="80" fillId="0" borderId="0" xfId="64" applyNumberFormat="1" applyFont="1">
      <alignment/>
      <protection/>
    </xf>
    <xf numFmtId="0" fontId="82" fillId="0" borderId="0" xfId="64" applyFont="1">
      <alignment/>
      <protection/>
    </xf>
    <xf numFmtId="3" fontId="80" fillId="0" borderId="0" xfId="64" applyNumberFormat="1" applyFont="1" applyAlignment="1">
      <alignment horizontal="right"/>
      <protection/>
    </xf>
    <xf numFmtId="3" fontId="80" fillId="0" borderId="30" xfId="64" applyNumberFormat="1" applyFont="1" applyBorder="1" applyAlignment="1">
      <alignment horizontal="center" vertical="center" wrapText="1"/>
      <protection/>
    </xf>
    <xf numFmtId="3" fontId="80" fillId="0" borderId="55" xfId="64" applyNumberFormat="1" applyFont="1" applyBorder="1" applyAlignment="1">
      <alignment horizontal="center" vertical="center" wrapText="1"/>
      <protection/>
    </xf>
    <xf numFmtId="3" fontId="68" fillId="24" borderId="16" xfId="61" applyNumberFormat="1" applyFont="1" applyFill="1" applyBorder="1" applyAlignment="1">
      <alignment horizontal="right" shrinkToFit="1"/>
      <protection/>
    </xf>
    <xf numFmtId="3" fontId="80" fillId="0" borderId="41" xfId="64" applyNumberFormat="1" applyFont="1" applyBorder="1">
      <alignment/>
      <protection/>
    </xf>
    <xf numFmtId="3" fontId="68" fillId="0" borderId="16" xfId="61" applyNumberFormat="1" applyFont="1" applyFill="1" applyBorder="1" applyAlignment="1">
      <alignment horizontal="right" shrinkToFit="1"/>
      <protection/>
    </xf>
    <xf numFmtId="3" fontId="68" fillId="0" borderId="90" xfId="0" applyNumberFormat="1" applyFont="1" applyBorder="1" applyAlignment="1">
      <alignment horizontal="right"/>
    </xf>
    <xf numFmtId="3" fontId="80" fillId="0" borderId="42" xfId="64" applyNumberFormat="1" applyFont="1" applyBorder="1">
      <alignment/>
      <protection/>
    </xf>
    <xf numFmtId="3" fontId="68" fillId="0" borderId="16" xfId="0" applyNumberFormat="1" applyFont="1" applyFill="1" applyBorder="1" applyAlignment="1">
      <alignment horizontal="right" shrinkToFit="1"/>
    </xf>
    <xf numFmtId="3" fontId="80" fillId="0" borderId="107" xfId="64" applyNumberFormat="1" applyFont="1" applyBorder="1">
      <alignment/>
      <protection/>
    </xf>
    <xf numFmtId="0" fontId="80" fillId="0" borderId="0" xfId="64" applyFont="1" applyBorder="1" applyAlignment="1">
      <alignment horizontal="center"/>
      <protection/>
    </xf>
    <xf numFmtId="3" fontId="80" fillId="0" borderId="0" xfId="64" applyNumberFormat="1" applyFont="1" applyBorder="1">
      <alignment/>
      <protection/>
    </xf>
    <xf numFmtId="0" fontId="22" fillId="0" borderId="0" xfId="0" applyFont="1" applyAlignment="1">
      <alignment/>
    </xf>
    <xf numFmtId="3" fontId="28" fillId="0" borderId="84" xfId="0" applyNumberFormat="1" applyFont="1" applyFill="1" applyBorder="1" applyAlignment="1">
      <alignment horizontal="center" vertical="center"/>
    </xf>
    <xf numFmtId="3" fontId="27" fillId="0" borderId="56" xfId="58" applyNumberFormat="1" applyFont="1" applyFill="1" applyBorder="1" applyAlignment="1">
      <alignment horizontal="right" vertical="center"/>
      <protection/>
    </xf>
    <xf numFmtId="0" fontId="9" fillId="0" borderId="142" xfId="0" applyFont="1" applyFill="1" applyBorder="1" applyAlignment="1">
      <alignment shrinkToFit="1"/>
    </xf>
    <xf numFmtId="0" fontId="10" fillId="0" borderId="111" xfId="0" applyFont="1" applyFill="1" applyBorder="1" applyAlignment="1">
      <alignment vertical="center" shrinkToFit="1"/>
    </xf>
    <xf numFmtId="3" fontId="16" fillId="0" borderId="47" xfId="0" applyNumberFormat="1" applyFont="1" applyFill="1" applyBorder="1" applyAlignment="1">
      <alignment vertical="center"/>
    </xf>
    <xf numFmtId="0" fontId="5" fillId="0" borderId="156" xfId="0" applyFont="1" applyFill="1" applyBorder="1" applyAlignment="1">
      <alignment horizontal="center" shrinkToFit="1"/>
    </xf>
    <xf numFmtId="0" fontId="5" fillId="0" borderId="114" xfId="0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 shrinkToFit="1"/>
    </xf>
    <xf numFmtId="0" fontId="6" fillId="0" borderId="72" xfId="0" applyFont="1" applyFill="1" applyBorder="1" applyAlignment="1">
      <alignment horizontal="left" vertical="center"/>
    </xf>
    <xf numFmtId="0" fontId="6" fillId="0" borderId="157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 shrinkToFit="1"/>
    </xf>
    <xf numFmtId="0" fontId="6" fillId="0" borderId="88" xfId="0" applyFont="1" applyFill="1" applyBorder="1" applyAlignment="1">
      <alignment horizontal="left" vertical="center" shrinkToFit="1"/>
    </xf>
    <xf numFmtId="0" fontId="70" fillId="22" borderId="156" xfId="0" applyFont="1" applyFill="1" applyBorder="1" applyAlignment="1">
      <alignment horizontal="center" vertical="center" shrinkToFit="1"/>
    </xf>
    <xf numFmtId="0" fontId="70" fillId="22" borderId="114" xfId="0" applyFont="1" applyFill="1" applyBorder="1" applyAlignment="1">
      <alignment horizontal="center" vertical="center" shrinkToFit="1"/>
    </xf>
    <xf numFmtId="0" fontId="70" fillId="22" borderId="25" xfId="0" applyFont="1" applyFill="1" applyBorder="1" applyAlignment="1">
      <alignment horizontal="center" vertical="center" shrinkToFit="1"/>
    </xf>
    <xf numFmtId="0" fontId="70" fillId="0" borderId="18" xfId="0" applyFont="1" applyFill="1" applyBorder="1" applyAlignment="1">
      <alignment horizontal="center" vertical="center" shrinkToFit="1"/>
    </xf>
    <xf numFmtId="0" fontId="70" fillId="0" borderId="51" xfId="0" applyFont="1" applyFill="1" applyBorder="1" applyAlignment="1">
      <alignment horizontal="center" vertical="center" shrinkToFit="1"/>
    </xf>
    <xf numFmtId="0" fontId="70" fillId="0" borderId="74" xfId="0" applyFont="1" applyFill="1" applyBorder="1" applyAlignment="1">
      <alignment horizontal="center" vertical="center" shrinkToFit="1"/>
    </xf>
    <xf numFmtId="0" fontId="70" fillId="0" borderId="69" xfId="0" applyFont="1" applyFill="1" applyBorder="1" applyAlignment="1">
      <alignment horizontal="center" vertical="center" shrinkToFit="1"/>
    </xf>
    <xf numFmtId="0" fontId="70" fillId="0" borderId="106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70" fillId="0" borderId="70" xfId="0" applyFont="1" applyFill="1" applyBorder="1" applyAlignment="1">
      <alignment horizontal="center" vertical="center" shrinkToFit="1"/>
    </xf>
    <xf numFmtId="0" fontId="70" fillId="0" borderId="49" xfId="0" applyFont="1" applyFill="1" applyBorder="1" applyAlignment="1">
      <alignment horizontal="center" vertical="center" shrinkToFit="1"/>
    </xf>
    <xf numFmtId="0" fontId="70" fillId="0" borderId="68" xfId="0" applyFont="1" applyFill="1" applyBorder="1" applyAlignment="1">
      <alignment horizontal="center" vertical="center" shrinkToFit="1"/>
    </xf>
    <xf numFmtId="0" fontId="70" fillId="0" borderId="53" xfId="0" applyFont="1" applyFill="1" applyBorder="1" applyAlignment="1">
      <alignment horizontal="center" vertical="center" shrinkToFit="1"/>
    </xf>
    <xf numFmtId="0" fontId="70" fillId="0" borderId="71" xfId="0" applyFont="1" applyFill="1" applyBorder="1" applyAlignment="1">
      <alignment horizontal="center" vertical="center" shrinkToFit="1"/>
    </xf>
    <xf numFmtId="0" fontId="28" fillId="22" borderId="156" xfId="0" applyFont="1" applyFill="1" applyBorder="1" applyAlignment="1">
      <alignment horizontal="center" vertical="center" shrinkToFit="1"/>
    </xf>
    <xf numFmtId="0" fontId="28" fillId="22" borderId="114" xfId="0" applyFont="1" applyFill="1" applyBorder="1" applyAlignment="1">
      <alignment horizontal="center" vertical="center" shrinkToFit="1"/>
    </xf>
    <xf numFmtId="0" fontId="28" fillId="22" borderId="25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51" xfId="0" applyFont="1" applyFill="1" applyBorder="1" applyAlignment="1">
      <alignment horizontal="center" vertical="center" shrinkToFit="1"/>
    </xf>
    <xf numFmtId="0" fontId="28" fillId="0" borderId="74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117" xfId="0" applyFont="1" applyBorder="1" applyAlignment="1">
      <alignment horizontal="center" vertical="center" wrapText="1"/>
    </xf>
    <xf numFmtId="0" fontId="28" fillId="0" borderId="106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42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3" fontId="28" fillId="0" borderId="70" xfId="0" applyNumberFormat="1" applyFont="1" applyFill="1" applyBorder="1" applyAlignment="1">
      <alignment horizontal="center" vertical="center"/>
    </xf>
    <xf numFmtId="3" fontId="28" fillId="0" borderId="74" xfId="0" applyNumberFormat="1" applyFont="1" applyFill="1" applyBorder="1" applyAlignment="1">
      <alignment horizontal="center" vertical="center"/>
    </xf>
    <xf numFmtId="3" fontId="28" fillId="22" borderId="156" xfId="0" applyNumberFormat="1" applyFont="1" applyFill="1" applyBorder="1" applyAlignment="1">
      <alignment horizontal="center" vertical="center"/>
    </xf>
    <xf numFmtId="3" fontId="28" fillId="22" borderId="114" xfId="0" applyNumberFormat="1" applyFont="1" applyFill="1" applyBorder="1" applyAlignment="1">
      <alignment horizontal="center" vertical="center"/>
    </xf>
    <xf numFmtId="3" fontId="28" fillId="22" borderId="25" xfId="0" applyNumberFormat="1" applyFont="1" applyFill="1" applyBorder="1" applyAlignment="1">
      <alignment horizontal="center" vertical="center"/>
    </xf>
    <xf numFmtId="3" fontId="28" fillId="0" borderId="72" xfId="0" applyNumberFormat="1" applyFont="1" applyFill="1" applyBorder="1" applyAlignment="1">
      <alignment horizontal="center" vertical="center"/>
    </xf>
    <xf numFmtId="3" fontId="28" fillId="0" borderId="88" xfId="0" applyNumberFormat="1" applyFont="1" applyFill="1" applyBorder="1" applyAlignment="1">
      <alignment horizontal="center" vertical="center"/>
    </xf>
    <xf numFmtId="3" fontId="28" fillId="0" borderId="60" xfId="0" applyNumberFormat="1" applyFont="1" applyFill="1" applyBorder="1" applyAlignment="1">
      <alignment horizontal="center" vertical="center"/>
    </xf>
    <xf numFmtId="3" fontId="28" fillId="0" borderId="156" xfId="0" applyNumberFormat="1" applyFont="1" applyFill="1" applyBorder="1" applyAlignment="1">
      <alignment horizontal="center" vertical="center"/>
    </xf>
    <xf numFmtId="3" fontId="28" fillId="0" borderId="114" xfId="0" applyNumberFormat="1" applyFont="1" applyFill="1" applyBorder="1" applyAlignment="1">
      <alignment horizontal="center" vertical="center"/>
    </xf>
    <xf numFmtId="3" fontId="28" fillId="0" borderId="54" xfId="0" applyNumberFormat="1" applyFont="1" applyFill="1" applyBorder="1" applyAlignment="1">
      <alignment horizontal="center" vertical="center"/>
    </xf>
    <xf numFmtId="3" fontId="28" fillId="0" borderId="95" xfId="0" applyNumberFormat="1" applyFont="1" applyFill="1" applyBorder="1" applyAlignment="1">
      <alignment horizontal="center" vertical="center"/>
    </xf>
    <xf numFmtId="3" fontId="28" fillId="0" borderId="27" xfId="0" applyNumberFormat="1" applyFont="1" applyFill="1" applyBorder="1" applyAlignment="1">
      <alignment horizontal="center" vertical="center"/>
    </xf>
    <xf numFmtId="3" fontId="28" fillId="0" borderId="92" xfId="0" applyNumberFormat="1" applyFont="1" applyFill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center" vertical="center"/>
    </xf>
    <xf numFmtId="0" fontId="27" fillId="0" borderId="60" xfId="0" applyFont="1" applyBorder="1" applyAlignment="1">
      <alignment vertical="center"/>
    </xf>
    <xf numFmtId="3" fontId="27" fillId="0" borderId="39" xfId="0" applyNumberFormat="1" applyFont="1" applyFill="1" applyBorder="1" applyAlignment="1">
      <alignment horizontal="left" vertical="center" wrapText="1"/>
    </xf>
    <xf numFmtId="0" fontId="27" fillId="0" borderId="40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49" fontId="27" fillId="0" borderId="39" xfId="0" applyNumberFormat="1" applyFont="1" applyFill="1" applyBorder="1" applyAlignment="1">
      <alignment horizontal="left" wrapText="1" shrinkToFit="1"/>
    </xf>
    <xf numFmtId="0" fontId="27" fillId="0" borderId="40" xfId="0" applyFont="1" applyBorder="1" applyAlignment="1">
      <alignment/>
    </xf>
    <xf numFmtId="0" fontId="27" fillId="0" borderId="41" xfId="0" applyFont="1" applyBorder="1" applyAlignment="1">
      <alignment/>
    </xf>
    <xf numFmtId="3" fontId="27" fillId="0" borderId="47" xfId="0" applyNumberFormat="1" applyFont="1" applyFill="1" applyBorder="1" applyAlignment="1">
      <alignment horizontal="center" vertical="center"/>
    </xf>
    <xf numFmtId="0" fontId="27" fillId="0" borderId="47" xfId="0" applyFont="1" applyBorder="1" applyAlignment="1">
      <alignment vertical="center"/>
    </xf>
    <xf numFmtId="3" fontId="28" fillId="0" borderId="100" xfId="0" applyNumberFormat="1" applyFont="1" applyFill="1" applyBorder="1" applyAlignment="1">
      <alignment horizontal="center" vertical="center"/>
    </xf>
    <xf numFmtId="3" fontId="28" fillId="0" borderId="140" xfId="0" applyNumberFormat="1" applyFont="1" applyFill="1" applyBorder="1" applyAlignment="1">
      <alignment horizontal="center" vertical="center"/>
    </xf>
    <xf numFmtId="3" fontId="28" fillId="0" borderId="64" xfId="0" applyNumberFormat="1" applyFont="1" applyFill="1" applyBorder="1" applyAlignment="1">
      <alignment horizontal="center" vertical="center"/>
    </xf>
    <xf numFmtId="3" fontId="28" fillId="0" borderId="27" xfId="0" applyNumberFormat="1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3" fontId="28" fillId="0" borderId="156" xfId="0" applyNumberFormat="1" applyFont="1" applyFill="1" applyBorder="1" applyAlignment="1">
      <alignment horizontal="left" vertical="center"/>
    </xf>
    <xf numFmtId="3" fontId="28" fillId="0" borderId="114" xfId="0" applyNumberFormat="1" applyFont="1" applyFill="1" applyBorder="1" applyAlignment="1">
      <alignment horizontal="left" vertical="center"/>
    </xf>
    <xf numFmtId="3" fontId="28" fillId="0" borderId="54" xfId="0" applyNumberFormat="1" applyFont="1" applyFill="1" applyBorder="1" applyAlignment="1">
      <alignment horizontal="left" vertical="center"/>
    </xf>
    <xf numFmtId="3" fontId="28" fillId="0" borderId="69" xfId="0" applyNumberFormat="1" applyFont="1" applyFill="1" applyBorder="1" applyAlignment="1">
      <alignment horizontal="left" vertical="center"/>
    </xf>
    <xf numFmtId="3" fontId="28" fillId="0" borderId="49" xfId="0" applyNumberFormat="1" applyFont="1" applyFill="1" applyBorder="1" applyAlignment="1">
      <alignment horizontal="left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28" fillId="0" borderId="51" xfId="0" applyNumberFormat="1" applyFont="1" applyFill="1" applyBorder="1" applyAlignment="1">
      <alignment horizontal="center" vertical="center"/>
    </xf>
    <xf numFmtId="3" fontId="28" fillId="0" borderId="68" xfId="0" applyNumberFormat="1" applyFont="1" applyFill="1" applyBorder="1" applyAlignment="1">
      <alignment horizontal="right" vertical="center"/>
    </xf>
    <xf numFmtId="3" fontId="28" fillId="0" borderId="53" xfId="0" applyNumberFormat="1" applyFont="1" applyFill="1" applyBorder="1" applyAlignment="1">
      <alignment horizontal="right" vertical="center"/>
    </xf>
    <xf numFmtId="0" fontId="47" fillId="0" borderId="156" xfId="0" applyFont="1" applyFill="1" applyBorder="1" applyAlignment="1">
      <alignment horizontal="center" vertical="center" shrinkToFit="1"/>
    </xf>
    <xf numFmtId="0" fontId="47" fillId="0" borderId="114" xfId="0" applyFont="1" applyFill="1" applyBorder="1" applyAlignment="1">
      <alignment horizontal="center" vertical="center" shrinkToFit="1"/>
    </xf>
    <xf numFmtId="0" fontId="47" fillId="0" borderId="54" xfId="0" applyFont="1" applyFill="1" applyBorder="1" applyAlignment="1">
      <alignment horizontal="center" vertical="center" shrinkToFit="1"/>
    </xf>
    <xf numFmtId="0" fontId="28" fillId="0" borderId="100" xfId="0" applyFont="1" applyFill="1" applyBorder="1" applyAlignment="1">
      <alignment horizontal="left" vertical="center" shrinkToFit="1"/>
    </xf>
    <xf numFmtId="0" fontId="27" fillId="0" borderId="140" xfId="0" applyFont="1" applyFill="1" applyBorder="1" applyAlignment="1">
      <alignment horizontal="left" vertical="center" shrinkToFit="1"/>
    </xf>
    <xf numFmtId="0" fontId="27" fillId="0" borderId="64" xfId="0" applyFont="1" applyFill="1" applyBorder="1" applyAlignment="1">
      <alignment horizontal="left" vertical="center" shrinkToFit="1"/>
    </xf>
    <xf numFmtId="0" fontId="47" fillId="0" borderId="72" xfId="0" applyFont="1" applyFill="1" applyBorder="1" applyAlignment="1">
      <alignment vertical="center" shrinkToFit="1"/>
    </xf>
    <xf numFmtId="0" fontId="46" fillId="0" borderId="88" xfId="0" applyFont="1" applyFill="1" applyBorder="1" applyAlignment="1">
      <alignment vertical="center" shrinkToFit="1"/>
    </xf>
    <xf numFmtId="0" fontId="46" fillId="0" borderId="60" xfId="0" applyFont="1" applyFill="1" applyBorder="1" applyAlignment="1">
      <alignment vertical="center" shrinkToFit="1"/>
    </xf>
    <xf numFmtId="3" fontId="28" fillId="0" borderId="62" xfId="0" applyNumberFormat="1" applyFont="1" applyFill="1" applyBorder="1" applyAlignment="1">
      <alignment horizontal="right" vertical="center" shrinkToFit="1"/>
    </xf>
    <xf numFmtId="3" fontId="28" fillId="0" borderId="52" xfId="0" applyNumberFormat="1" applyFont="1" applyFill="1" applyBorder="1" applyAlignment="1">
      <alignment horizontal="right" vertical="center" shrinkToFit="1"/>
    </xf>
    <xf numFmtId="3" fontId="28" fillId="0" borderId="45" xfId="0" applyNumberFormat="1" applyFont="1" applyFill="1" applyBorder="1" applyAlignment="1">
      <alignment horizontal="right" vertical="center" shrinkToFit="1"/>
    </xf>
    <xf numFmtId="3" fontId="28" fillId="0" borderId="29" xfId="0" applyNumberFormat="1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left" vertical="center" wrapText="1"/>
    </xf>
    <xf numFmtId="0" fontId="13" fillId="0" borderId="27" xfId="64" applyFont="1" applyBorder="1" applyAlignment="1">
      <alignment horizontal="center" vertical="center"/>
      <protection/>
    </xf>
    <xf numFmtId="0" fontId="26" fillId="0" borderId="19" xfId="64" applyFont="1" applyBorder="1" applyAlignment="1">
      <alignment horizontal="center" vertical="center"/>
      <protection/>
    </xf>
    <xf numFmtId="0" fontId="56" fillId="0" borderId="27" xfId="64" applyFont="1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13" fillId="0" borderId="30" xfId="64" applyFont="1" applyBorder="1" applyAlignment="1">
      <alignment horizontal="center"/>
      <protection/>
    </xf>
    <xf numFmtId="0" fontId="0" fillId="0" borderId="30" xfId="0" applyBorder="1" applyAlignment="1">
      <alignment horizontal="center"/>
    </xf>
    <xf numFmtId="0" fontId="56" fillId="0" borderId="38" xfId="64" applyFont="1" applyBorder="1" applyAlignment="1">
      <alignment horizontal="center"/>
      <protection/>
    </xf>
    <xf numFmtId="0" fontId="56" fillId="0" borderId="158" xfId="64" applyFont="1" applyBorder="1" applyAlignment="1">
      <alignment horizontal="center"/>
      <protection/>
    </xf>
    <xf numFmtId="0" fontId="0" fillId="0" borderId="43" xfId="0" applyBorder="1" applyAlignment="1">
      <alignment horizontal="center"/>
    </xf>
    <xf numFmtId="0" fontId="54" fillId="0" borderId="95" xfId="64" applyFont="1" applyBorder="1" applyAlignment="1">
      <alignment/>
      <protection/>
    </xf>
    <xf numFmtId="0" fontId="0" fillId="0" borderId="13" xfId="64" applyBorder="1" applyAlignment="1">
      <alignment/>
      <protection/>
    </xf>
    <xf numFmtId="0" fontId="11" fillId="0" borderId="69" xfId="64" applyFont="1" applyBorder="1" applyAlignment="1">
      <alignment/>
      <protection/>
    </xf>
    <xf numFmtId="0" fontId="26" fillId="0" borderId="131" xfId="64" applyFont="1" applyBorder="1" applyAlignment="1">
      <alignment/>
      <protection/>
    </xf>
    <xf numFmtId="0" fontId="56" fillId="0" borderId="48" xfId="64" applyFont="1" applyBorder="1" applyAlignment="1">
      <alignment horizontal="center" vertical="center"/>
      <protection/>
    </xf>
    <xf numFmtId="0" fontId="0" fillId="0" borderId="144" xfId="64" applyBorder="1" applyAlignment="1">
      <alignment horizontal="center" vertical="center"/>
      <protection/>
    </xf>
    <xf numFmtId="0" fontId="13" fillId="0" borderId="70" xfId="64" applyFont="1" applyBorder="1" applyAlignment="1">
      <alignment horizontal="center" vertical="center"/>
      <protection/>
    </xf>
    <xf numFmtId="0" fontId="26" fillId="0" borderId="144" xfId="64" applyFont="1" applyBorder="1" applyAlignment="1">
      <alignment horizontal="center" vertical="center"/>
      <protection/>
    </xf>
    <xf numFmtId="0" fontId="56" fillId="0" borderId="27" xfId="64" applyFont="1" applyBorder="1" applyAlignment="1">
      <alignment horizontal="center" wrapText="1"/>
      <protection/>
    </xf>
    <xf numFmtId="0" fontId="52" fillId="0" borderId="19" xfId="56" applyBorder="1" applyAlignment="1">
      <alignment horizontal="center"/>
      <protection/>
    </xf>
    <xf numFmtId="0" fontId="13" fillId="0" borderId="27" xfId="64" applyFont="1" applyBorder="1" applyAlignment="1">
      <alignment horizontal="center" wrapText="1"/>
      <protection/>
    </xf>
    <xf numFmtId="0" fontId="55" fillId="0" borderId="19" xfId="56" applyFont="1" applyBorder="1" applyAlignment="1">
      <alignment horizontal="center"/>
      <protection/>
    </xf>
    <xf numFmtId="0" fontId="22" fillId="0" borderId="0" xfId="0" applyFont="1" applyAlignment="1">
      <alignment horizontal="justify"/>
    </xf>
    <xf numFmtId="0" fontId="0" fillId="0" borderId="0" xfId="0" applyAlignment="1">
      <alignment/>
    </xf>
    <xf numFmtId="0" fontId="22" fillId="0" borderId="47" xfId="0" applyFont="1" applyBorder="1" applyAlignment="1">
      <alignment horizontal="justify"/>
    </xf>
    <xf numFmtId="0" fontId="0" fillId="0" borderId="47" xfId="0" applyBorder="1" applyAlignment="1">
      <alignment/>
    </xf>
    <xf numFmtId="0" fontId="80" fillId="0" borderId="109" xfId="64" applyFont="1" applyBorder="1" applyAlignment="1">
      <alignment horizontal="center" vertical="center"/>
      <protection/>
    </xf>
    <xf numFmtId="0" fontId="80" fillId="0" borderId="158" xfId="64" applyFont="1" applyBorder="1" applyAlignment="1">
      <alignment horizontal="center" vertical="center"/>
      <protection/>
    </xf>
    <xf numFmtId="0" fontId="80" fillId="0" borderId="43" xfId="64" applyFont="1" applyBorder="1" applyAlignment="1">
      <alignment horizontal="center" vertical="center"/>
      <protection/>
    </xf>
    <xf numFmtId="0" fontId="80" fillId="0" borderId="16" xfId="64" applyFont="1" applyBorder="1" applyAlignment="1">
      <alignment/>
      <protection/>
    </xf>
    <xf numFmtId="0" fontId="80" fillId="0" borderId="23" xfId="64" applyFont="1" applyBorder="1" applyAlignment="1">
      <alignment/>
      <protection/>
    </xf>
    <xf numFmtId="0" fontId="80" fillId="0" borderId="100" xfId="64" applyFont="1" applyBorder="1" applyAlignment="1">
      <alignment horizontal="center"/>
      <protection/>
    </xf>
    <xf numFmtId="0" fontId="80" fillId="0" borderId="140" xfId="64" applyFont="1" applyBorder="1" applyAlignment="1">
      <alignment horizontal="center"/>
      <protection/>
    </xf>
    <xf numFmtId="0" fontId="80" fillId="0" borderId="64" xfId="64" applyFont="1" applyBorder="1" applyAlignment="1">
      <alignment horizontal="center"/>
      <protection/>
    </xf>
    <xf numFmtId="0" fontId="81" fillId="0" borderId="47" xfId="0" applyFont="1" applyBorder="1" applyAlignment="1">
      <alignment horizontal="justify"/>
    </xf>
    <xf numFmtId="0" fontId="80" fillId="0" borderId="47" xfId="0" applyFont="1" applyBorder="1" applyAlignment="1">
      <alignment/>
    </xf>
    <xf numFmtId="0" fontId="78" fillId="0" borderId="0" xfId="0" applyFont="1" applyFill="1" applyAlignment="1">
      <alignment horizontal="left" shrinkToFit="1"/>
    </xf>
    <xf numFmtId="0" fontId="79" fillId="0" borderId="0" xfId="0" applyFont="1" applyFill="1" applyAlignment="1">
      <alignment horizontal="left" shrinkToFit="1"/>
    </xf>
    <xf numFmtId="0" fontId="56" fillId="0" borderId="47" xfId="63" applyFont="1" applyBorder="1" applyAlignment="1">
      <alignment horizontal="right"/>
      <protection/>
    </xf>
    <xf numFmtId="0" fontId="54" fillId="0" borderId="0" xfId="63" applyFont="1" applyBorder="1" applyAlignment="1">
      <alignment horizontal="left" vertical="center" wrapText="1"/>
      <protection/>
    </xf>
    <xf numFmtId="0" fontId="58" fillId="0" borderId="118" xfId="63" applyBorder="1" applyAlignment="1">
      <alignment horizontal="center" vertical="center" textRotation="255"/>
      <protection/>
    </xf>
    <xf numFmtId="0" fontId="58" fillId="0" borderId="159" xfId="63" applyBorder="1" applyAlignment="1">
      <alignment horizontal="center" vertical="center" textRotation="255"/>
      <protection/>
    </xf>
    <xf numFmtId="0" fontId="58" fillId="0" borderId="160" xfId="63" applyBorder="1" applyAlignment="1">
      <alignment horizontal="center" vertical="center" textRotation="255"/>
      <protection/>
    </xf>
    <xf numFmtId="0" fontId="58" fillId="0" borderId="0" xfId="63" applyFont="1" applyAlignment="1">
      <alignment horizontal="left"/>
      <protection/>
    </xf>
    <xf numFmtId="0" fontId="56" fillId="0" borderId="156" xfId="63" applyFont="1" applyBorder="1" applyAlignment="1">
      <alignment horizontal="center" vertical="center"/>
      <protection/>
    </xf>
    <xf numFmtId="0" fontId="56" fillId="0" borderId="25" xfId="63" applyFont="1" applyBorder="1" applyAlignment="1">
      <alignment horizontal="center" vertical="center"/>
      <protection/>
    </xf>
    <xf numFmtId="0" fontId="59" fillId="0" borderId="27" xfId="0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3" fontId="59" fillId="0" borderId="27" xfId="0" applyNumberFormat="1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3" fontId="59" fillId="0" borderId="38" xfId="0" applyNumberFormat="1" applyFont="1" applyFill="1" applyBorder="1" applyAlignment="1">
      <alignment horizontal="center" vertical="center"/>
    </xf>
    <xf numFmtId="3" fontId="59" fillId="0" borderId="158" xfId="0" applyNumberFormat="1" applyFont="1" applyFill="1" applyBorder="1" applyAlignment="1">
      <alignment horizontal="center" vertical="center"/>
    </xf>
    <xf numFmtId="3" fontId="59" fillId="0" borderId="115" xfId="0" applyNumberFormat="1" applyFont="1" applyFill="1" applyBorder="1" applyAlignment="1">
      <alignment horizontal="center" vertical="center"/>
    </xf>
    <xf numFmtId="3" fontId="59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59" fillId="0" borderId="67" xfId="0" applyNumberFormat="1" applyFont="1" applyFill="1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3" fontId="59" fillId="0" borderId="118" xfId="0" applyNumberFormat="1" applyFont="1" applyFill="1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0" fillId="0" borderId="160" xfId="0" applyBorder="1" applyAlignment="1">
      <alignment horizontal="center" vertical="center" wrapText="1"/>
    </xf>
    <xf numFmtId="3" fontId="17" fillId="0" borderId="156" xfId="0" applyNumberFormat="1" applyFont="1" applyFill="1" applyBorder="1" applyAlignment="1">
      <alignment horizontal="left" vertical="center"/>
    </xf>
    <xf numFmtId="3" fontId="17" fillId="0" borderId="54" xfId="0" applyNumberFormat="1" applyFont="1" applyFill="1" applyBorder="1" applyAlignment="1">
      <alignment horizontal="left" vertical="center"/>
    </xf>
    <xf numFmtId="3" fontId="59" fillId="0" borderId="43" xfId="0" applyNumberFormat="1" applyFont="1" applyFill="1" applyBorder="1" applyAlignment="1">
      <alignment horizontal="center" vertical="center"/>
    </xf>
    <xf numFmtId="0" fontId="27" fillId="0" borderId="109" xfId="0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93" xfId="0" applyFont="1" applyBorder="1" applyAlignment="1">
      <alignment wrapText="1"/>
    </xf>
    <xf numFmtId="0" fontId="27" fillId="0" borderId="41" xfId="0" applyFont="1" applyBorder="1" applyAlignment="1">
      <alignment wrapText="1"/>
    </xf>
    <xf numFmtId="0" fontId="27" fillId="0" borderId="93" xfId="0" applyFont="1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wrapText="1"/>
    </xf>
    <xf numFmtId="3" fontId="13" fillId="0" borderId="161" xfId="0" applyNumberFormat="1" applyFont="1" applyFill="1" applyBorder="1" applyAlignment="1">
      <alignment horizontal="left" vertical="center"/>
    </xf>
    <xf numFmtId="0" fontId="0" fillId="0" borderId="16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3" fontId="13" fillId="0" borderId="93" xfId="0" applyNumberFormat="1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3" fontId="13" fillId="0" borderId="109" xfId="0" applyNumberFormat="1" applyFont="1" applyFill="1" applyBorder="1" applyAlignment="1">
      <alignment horizontal="left" vertical="center" wrapText="1"/>
    </xf>
    <xf numFmtId="3" fontId="13" fillId="0" borderId="158" xfId="0" applyNumberFormat="1" applyFont="1" applyFill="1" applyBorder="1" applyAlignment="1">
      <alignment horizontal="left" vertical="center" wrapText="1"/>
    </xf>
    <xf numFmtId="3" fontId="13" fillId="0" borderId="43" xfId="0" applyNumberFormat="1" applyFont="1" applyFill="1" applyBorder="1" applyAlignment="1">
      <alignment horizontal="left" vertical="center" wrapText="1"/>
    </xf>
    <xf numFmtId="3" fontId="28" fillId="0" borderId="93" xfId="0" applyNumberFormat="1" applyFont="1" applyFill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3" fontId="13" fillId="0" borderId="93" xfId="0" applyNumberFormat="1" applyFont="1" applyFill="1" applyBorder="1" applyAlignment="1">
      <alignment vertical="center"/>
    </xf>
    <xf numFmtId="3" fontId="13" fillId="0" borderId="93" xfId="0" applyNumberFormat="1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3" fontId="18" fillId="0" borderId="69" xfId="0" applyNumberFormat="1" applyFont="1" applyFill="1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3" xfId="0" applyBorder="1" applyAlignment="1">
      <alignment vertical="center"/>
    </xf>
    <xf numFmtId="3" fontId="13" fillId="0" borderId="10" xfId="0" applyNumberFormat="1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left" vertical="center"/>
    </xf>
    <xf numFmtId="3" fontId="17" fillId="0" borderId="69" xfId="0" applyNumberFormat="1" applyFont="1" applyFill="1" applyBorder="1" applyAlignment="1">
      <alignment horizontal="left" vertical="center"/>
    </xf>
    <xf numFmtId="3" fontId="17" fillId="0" borderId="49" xfId="0" applyNumberFormat="1" applyFont="1" applyFill="1" applyBorder="1" applyAlignment="1">
      <alignment horizontal="left" vertical="center"/>
    </xf>
    <xf numFmtId="3" fontId="17" fillId="0" borderId="18" xfId="0" applyNumberFormat="1" applyFont="1" applyFill="1" applyBorder="1" applyAlignment="1">
      <alignment horizontal="center" vertical="center"/>
    </xf>
    <xf numFmtId="3" fontId="17" fillId="0" borderId="51" xfId="0" applyNumberFormat="1" applyFont="1" applyFill="1" applyBorder="1" applyAlignment="1">
      <alignment horizontal="center" vertical="center"/>
    </xf>
    <xf numFmtId="3" fontId="17" fillId="0" borderId="68" xfId="0" applyNumberFormat="1" applyFont="1" applyFill="1" applyBorder="1" applyAlignment="1">
      <alignment horizontal="right" vertical="center"/>
    </xf>
    <xf numFmtId="3" fontId="17" fillId="0" borderId="53" xfId="0" applyNumberFormat="1" applyFont="1" applyFill="1" applyBorder="1" applyAlignment="1">
      <alignment horizontal="right" vertical="center"/>
    </xf>
    <xf numFmtId="0" fontId="17" fillId="0" borderId="27" xfId="57" applyFont="1" applyFill="1" applyBorder="1" applyAlignment="1">
      <alignment horizontal="center" vertical="center" wrapText="1"/>
      <protection/>
    </xf>
    <xf numFmtId="0" fontId="17" fillId="0" borderId="28" xfId="57" applyFont="1" applyFill="1" applyBorder="1" applyAlignment="1">
      <alignment horizontal="center" vertical="center" wrapText="1"/>
      <protection/>
    </xf>
    <xf numFmtId="0" fontId="17" fillId="0" borderId="29" xfId="57" applyFont="1" applyFill="1" applyBorder="1" applyAlignment="1">
      <alignment horizontal="center" vertical="center" wrapText="1"/>
      <protection/>
    </xf>
    <xf numFmtId="0" fontId="17" fillId="0" borderId="48" xfId="57" applyFont="1" applyFill="1" applyBorder="1" applyAlignment="1">
      <alignment horizontal="center" vertical="center" wrapText="1"/>
      <protection/>
    </xf>
    <xf numFmtId="0" fontId="17" fillId="0" borderId="50" xfId="57" applyFont="1" applyFill="1" applyBorder="1" applyAlignment="1">
      <alignment horizontal="center" vertical="center" wrapText="1"/>
      <protection/>
    </xf>
    <xf numFmtId="0" fontId="17" fillId="0" borderId="52" xfId="57" applyFont="1" applyFill="1" applyBorder="1" applyAlignment="1">
      <alignment horizontal="center" vertical="center" wrapText="1"/>
      <protection/>
    </xf>
    <xf numFmtId="0" fontId="11" fillId="0" borderId="111" xfId="57" applyFont="1" applyFill="1" applyBorder="1" applyAlignment="1">
      <alignment horizontal="justify"/>
      <protection/>
    </xf>
    <xf numFmtId="0" fontId="11" fillId="0" borderId="0" xfId="57" applyFont="1" applyFill="1" applyAlignment="1">
      <alignment horizontal="justify"/>
      <protection/>
    </xf>
    <xf numFmtId="0" fontId="18" fillId="0" borderId="92" xfId="57" applyFont="1" applyFill="1" applyBorder="1" applyAlignment="1">
      <alignment horizontal="center" vertical="center"/>
      <protection/>
    </xf>
    <xf numFmtId="0" fontId="28" fillId="0" borderId="25" xfId="58" applyFont="1" applyFill="1" applyBorder="1" applyAlignment="1">
      <alignment horizontal="center" vertical="center" wrapText="1"/>
      <protection/>
    </xf>
    <xf numFmtId="0" fontId="28" fillId="0" borderId="12" xfId="58" applyFont="1" applyFill="1" applyBorder="1" applyAlignment="1">
      <alignment horizontal="center" vertical="center" wrapText="1"/>
      <protection/>
    </xf>
    <xf numFmtId="0" fontId="28" fillId="0" borderId="118" xfId="58" applyFont="1" applyBorder="1" applyAlignment="1">
      <alignment vertical="center" wrapText="1"/>
      <protection/>
    </xf>
    <xf numFmtId="0" fontId="28" fillId="0" borderId="160" xfId="58" applyFont="1" applyBorder="1" applyAlignment="1">
      <alignment vertical="center" wrapText="1"/>
      <protection/>
    </xf>
    <xf numFmtId="0" fontId="28" fillId="0" borderId="106" xfId="58" applyFont="1" applyBorder="1" applyAlignment="1">
      <alignment horizontal="center" vertical="center"/>
      <protection/>
    </xf>
    <xf numFmtId="0" fontId="28" fillId="0" borderId="53" xfId="58" applyFont="1" applyBorder="1" applyAlignment="1">
      <alignment horizontal="center" vertical="center"/>
      <protection/>
    </xf>
    <xf numFmtId="0" fontId="28" fillId="0" borderId="147" xfId="58" applyFont="1" applyFill="1" applyBorder="1" applyAlignment="1">
      <alignment horizontal="center" vertical="center" wrapText="1"/>
      <protection/>
    </xf>
    <xf numFmtId="0" fontId="28" fillId="0" borderId="54" xfId="58" applyFont="1" applyFill="1" applyBorder="1" applyAlignment="1">
      <alignment horizontal="center" vertical="center" wrapText="1"/>
      <protection/>
    </xf>
    <xf numFmtId="3" fontId="28" fillId="0" borderId="50" xfId="59" applyNumberFormat="1" applyFont="1" applyFill="1" applyBorder="1" applyAlignment="1">
      <alignment horizontal="right" vertical="center"/>
      <protection/>
    </xf>
    <xf numFmtId="0" fontId="27" fillId="0" borderId="50" xfId="0" applyFont="1" applyBorder="1" applyAlignment="1">
      <alignment horizontal="right" vertical="center"/>
    </xf>
    <xf numFmtId="0" fontId="27" fillId="0" borderId="155" xfId="0" applyFont="1" applyBorder="1" applyAlignment="1">
      <alignment horizontal="right" vertical="center"/>
    </xf>
    <xf numFmtId="3" fontId="27" fillId="0" borderId="27" xfId="59" applyNumberFormat="1" applyFont="1" applyFill="1" applyBorder="1" applyAlignment="1">
      <alignment horizontal="right" vertical="center"/>
      <protection/>
    </xf>
    <xf numFmtId="0" fontId="27" fillId="0" borderId="31" xfId="59" applyFont="1" applyBorder="1" applyAlignment="1">
      <alignment horizontal="right" vertical="center"/>
      <protection/>
    </xf>
    <xf numFmtId="3" fontId="27" fillId="0" borderId="32" xfId="59" applyNumberFormat="1" applyFont="1" applyFill="1" applyBorder="1" applyAlignment="1">
      <alignment horizontal="right" vertical="center"/>
      <protection/>
    </xf>
    <xf numFmtId="0" fontId="27" fillId="0" borderId="28" xfId="64" applyFont="1" applyBorder="1" applyAlignment="1">
      <alignment horizontal="right" vertical="center"/>
      <protection/>
    </xf>
    <xf numFmtId="3" fontId="28" fillId="0" borderId="150" xfId="59" applyNumberFormat="1" applyFont="1" applyFill="1" applyBorder="1" applyAlignment="1">
      <alignment horizontal="right" vertical="center"/>
      <protection/>
    </xf>
    <xf numFmtId="0" fontId="27" fillId="0" borderId="50" xfId="64" applyFont="1" applyBorder="1" applyAlignment="1">
      <alignment horizontal="right" vertical="center"/>
      <protection/>
    </xf>
    <xf numFmtId="3" fontId="28" fillId="0" borderId="27" xfId="59" applyNumberFormat="1" applyFont="1" applyFill="1" applyBorder="1" applyAlignment="1">
      <alignment horizontal="right" vertical="center"/>
      <protection/>
    </xf>
    <xf numFmtId="0" fontId="27" fillId="0" borderId="29" xfId="59" applyFont="1" applyBorder="1" applyAlignment="1">
      <alignment horizontal="right" vertical="center"/>
      <protection/>
    </xf>
    <xf numFmtId="0" fontId="27" fillId="0" borderId="28" xfId="59" applyFont="1" applyBorder="1" applyAlignment="1">
      <alignment horizontal="right" vertical="center"/>
      <protection/>
    </xf>
    <xf numFmtId="3" fontId="27" fillId="0" borderId="28" xfId="59" applyNumberFormat="1" applyFont="1" applyBorder="1" applyAlignment="1">
      <alignment horizontal="right" vertical="center"/>
      <protection/>
    </xf>
    <xf numFmtId="3" fontId="27" fillId="0" borderId="29" xfId="59" applyNumberFormat="1" applyFont="1" applyBorder="1" applyAlignment="1">
      <alignment horizontal="right" vertical="center"/>
      <protection/>
    </xf>
    <xf numFmtId="3" fontId="28" fillId="0" borderId="48" xfId="59" applyNumberFormat="1" applyFont="1" applyFill="1" applyBorder="1" applyAlignment="1">
      <alignment horizontal="right" vertical="center"/>
      <protection/>
    </xf>
    <xf numFmtId="0" fontId="27" fillId="0" borderId="52" xfId="64" applyFont="1" applyBorder="1" applyAlignment="1">
      <alignment horizontal="right" vertical="center"/>
      <protection/>
    </xf>
    <xf numFmtId="0" fontId="27" fillId="0" borderId="29" xfId="64" applyFont="1" applyBorder="1" applyAlignment="1">
      <alignment horizontal="right" vertical="center"/>
      <protection/>
    </xf>
    <xf numFmtId="3" fontId="27" fillId="0" borderId="28" xfId="59" applyNumberFormat="1" applyFont="1" applyFill="1" applyBorder="1" applyAlignment="1">
      <alignment horizontal="right" vertical="center"/>
      <protection/>
    </xf>
    <xf numFmtId="0" fontId="27" fillId="0" borderId="28" xfId="0" applyFont="1" applyBorder="1" applyAlignment="1">
      <alignment horizontal="right" vertical="center"/>
    </xf>
    <xf numFmtId="0" fontId="27" fillId="0" borderId="31" xfId="0" applyFont="1" applyBorder="1" applyAlignment="1">
      <alignment horizontal="right" vertical="center"/>
    </xf>
    <xf numFmtId="0" fontId="27" fillId="0" borderId="27" xfId="59" applyFont="1" applyFill="1" applyBorder="1" applyAlignment="1">
      <alignment horizontal="center" vertical="center" wrapText="1"/>
      <protection/>
    </xf>
    <xf numFmtId="0" fontId="27" fillId="0" borderId="28" xfId="59" applyFont="1" applyFill="1" applyBorder="1" applyAlignment="1">
      <alignment horizontal="center" vertical="center" wrapText="1"/>
      <protection/>
    </xf>
    <xf numFmtId="0" fontId="27" fillId="0" borderId="29" xfId="59" applyFont="1" applyFill="1" applyBorder="1" applyAlignment="1">
      <alignment horizontal="center" vertical="center" wrapText="1"/>
      <protection/>
    </xf>
    <xf numFmtId="0" fontId="27" fillId="0" borderId="49" xfId="59" applyFont="1" applyFill="1" applyBorder="1" applyAlignment="1">
      <alignment horizontal="center" vertical="center"/>
      <protection/>
    </xf>
    <xf numFmtId="0" fontId="27" fillId="0" borderId="51" xfId="59" applyFont="1" applyBorder="1" applyAlignment="1">
      <alignment horizontal="center" vertical="center"/>
      <protection/>
    </xf>
    <xf numFmtId="0" fontId="27" fillId="0" borderId="53" xfId="59" applyFont="1" applyBorder="1" applyAlignment="1">
      <alignment horizontal="center" vertical="center"/>
      <protection/>
    </xf>
    <xf numFmtId="0" fontId="11" fillId="0" borderId="0" xfId="59" applyFont="1" applyFill="1" applyBorder="1">
      <alignment/>
      <protection/>
    </xf>
    <xf numFmtId="0" fontId="0" fillId="0" borderId="29" xfId="0" applyBorder="1" applyAlignment="1">
      <alignment horizontal="right" vertical="center"/>
    </xf>
    <xf numFmtId="3" fontId="28" fillId="0" borderId="52" xfId="59" applyNumberFormat="1" applyFont="1" applyFill="1" applyBorder="1" applyAlignment="1">
      <alignment horizontal="right" vertical="center"/>
      <protection/>
    </xf>
    <xf numFmtId="0" fontId="27" fillId="0" borderId="95" xfId="59" applyFont="1" applyFill="1" applyBorder="1" applyAlignment="1">
      <alignment horizontal="center" vertical="center" wrapText="1"/>
      <protection/>
    </xf>
    <xf numFmtId="0" fontId="27" fillId="0" borderId="92" xfId="59" applyFont="1" applyBorder="1" applyAlignment="1">
      <alignment horizontal="center" vertical="center" wrapText="1"/>
      <protection/>
    </xf>
    <xf numFmtId="0" fontId="27" fillId="0" borderId="96" xfId="59" applyFont="1" applyBorder="1" applyAlignment="1">
      <alignment horizontal="center" vertical="center" wrapText="1"/>
      <protection/>
    </xf>
    <xf numFmtId="0" fontId="27" fillId="0" borderId="48" xfId="59" applyFont="1" applyFill="1" applyBorder="1" applyAlignment="1">
      <alignment horizontal="center" vertical="center" wrapText="1"/>
      <protection/>
    </xf>
    <xf numFmtId="0" fontId="27" fillId="0" borderId="50" xfId="59" applyFont="1" applyFill="1" applyBorder="1" applyAlignment="1">
      <alignment horizontal="center" vertical="center" wrapText="1"/>
      <protection/>
    </xf>
    <xf numFmtId="0" fontId="27" fillId="0" borderId="52" xfId="59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right" vertical="center"/>
    </xf>
    <xf numFmtId="0" fontId="7" fillId="0" borderId="95" xfId="60" applyFont="1" applyBorder="1" applyAlignment="1">
      <alignment wrapText="1"/>
      <protection/>
    </xf>
    <xf numFmtId="0" fontId="58" fillId="0" borderId="92" xfId="60" applyBorder="1" applyAlignment="1">
      <alignment wrapText="1"/>
      <protection/>
    </xf>
    <xf numFmtId="0" fontId="58" fillId="0" borderId="96" xfId="60" applyBorder="1" applyAlignment="1">
      <alignment wrapText="1"/>
      <protection/>
    </xf>
    <xf numFmtId="0" fontId="7" fillId="0" borderId="0" xfId="60" applyFont="1" applyBorder="1">
      <alignment/>
      <protection/>
    </xf>
    <xf numFmtId="0" fontId="13" fillId="0" borderId="98" xfId="63" applyFont="1" applyFill="1" applyBorder="1" applyAlignment="1">
      <alignment horizontal="left" vertical="center"/>
      <protection/>
    </xf>
    <xf numFmtId="0" fontId="11" fillId="0" borderId="0" xfId="63" applyFont="1" applyFill="1" applyBorder="1" applyAlignment="1">
      <alignment horizontal="justify"/>
      <protection/>
    </xf>
    <xf numFmtId="0" fontId="11" fillId="0" borderId="0" xfId="63" applyFont="1" applyFill="1" applyAlignment="1">
      <alignment horizontal="justify"/>
      <protection/>
    </xf>
    <xf numFmtId="0" fontId="13" fillId="0" borderId="27" xfId="63" applyFont="1" applyFill="1" applyBorder="1" applyAlignment="1">
      <alignment horizontal="center" vertical="center" wrapText="1"/>
      <protection/>
    </xf>
    <xf numFmtId="0" fontId="13" fillId="0" borderId="28" xfId="63" applyFont="1" applyFill="1" applyBorder="1" applyAlignment="1">
      <alignment horizontal="center" vertical="center" wrapText="1"/>
      <protection/>
    </xf>
    <xf numFmtId="0" fontId="13" fillId="0" borderId="29" xfId="63" applyFont="1" applyFill="1" applyBorder="1" applyAlignment="1">
      <alignment horizontal="center" vertical="center" wrapText="1"/>
      <protection/>
    </xf>
    <xf numFmtId="0" fontId="13" fillId="0" borderId="48" xfId="63" applyFont="1" applyFill="1" applyBorder="1" applyAlignment="1">
      <alignment horizontal="center" vertical="center" wrapText="1"/>
      <protection/>
    </xf>
    <xf numFmtId="0" fontId="13" fillId="0" borderId="50" xfId="63" applyFont="1" applyFill="1" applyBorder="1" applyAlignment="1">
      <alignment horizontal="center" vertical="center" wrapText="1"/>
      <protection/>
    </xf>
    <xf numFmtId="0" fontId="13" fillId="0" borderId="52" xfId="63" applyFont="1" applyFill="1" applyBorder="1" applyAlignment="1">
      <alignment horizontal="center" vertical="center" wrapText="1"/>
      <protection/>
    </xf>
    <xf numFmtId="0" fontId="17" fillId="0" borderId="27" xfId="63" applyFont="1" applyFill="1" applyBorder="1" applyAlignment="1">
      <alignment horizontal="center" vertical="center" wrapText="1"/>
      <protection/>
    </xf>
    <xf numFmtId="0" fontId="17" fillId="0" borderId="28" xfId="63" applyFont="1" applyFill="1" applyBorder="1" applyAlignment="1">
      <alignment horizontal="center" vertical="center" wrapText="1"/>
      <protection/>
    </xf>
    <xf numFmtId="0" fontId="17" fillId="0" borderId="29" xfId="63" applyFont="1" applyFill="1" applyBorder="1" applyAlignment="1">
      <alignment horizontal="center" vertical="center" wrapText="1"/>
      <protection/>
    </xf>
    <xf numFmtId="0" fontId="17" fillId="0" borderId="48" xfId="63" applyFont="1" applyFill="1" applyBorder="1" applyAlignment="1">
      <alignment horizontal="center" vertical="center" wrapText="1"/>
      <protection/>
    </xf>
    <xf numFmtId="0" fontId="17" fillId="0" borderId="50" xfId="63" applyFont="1" applyFill="1" applyBorder="1" applyAlignment="1">
      <alignment horizontal="center" vertical="center" wrapText="1"/>
      <protection/>
    </xf>
    <xf numFmtId="0" fontId="17" fillId="0" borderId="52" xfId="63" applyFont="1" applyFill="1" applyBorder="1" applyAlignment="1">
      <alignment horizontal="center" vertical="center" wrapText="1"/>
      <protection/>
    </xf>
    <xf numFmtId="0" fontId="24" fillId="0" borderId="0" xfId="63" applyFont="1" applyAlignment="1">
      <alignment horizontal="left" vertical="center"/>
      <protection/>
    </xf>
    <xf numFmtId="0" fontId="13" fillId="0" borderId="95" xfId="63" applyFont="1" applyFill="1" applyBorder="1" applyAlignment="1">
      <alignment horizontal="left" vertical="center" wrapText="1"/>
      <protection/>
    </xf>
    <xf numFmtId="0" fontId="13" fillId="0" borderId="92" xfId="63" applyFont="1" applyFill="1" applyBorder="1" applyAlignment="1">
      <alignment horizontal="left" vertical="center" wrapText="1"/>
      <protection/>
    </xf>
    <xf numFmtId="0" fontId="13" fillId="0" borderId="96" xfId="63" applyFont="1" applyFill="1" applyBorder="1" applyAlignment="1">
      <alignment horizontal="left" vertical="center" wrapText="1"/>
      <protection/>
    </xf>
    <xf numFmtId="0" fontId="18" fillId="0" borderId="95" xfId="63" applyFont="1" applyFill="1" applyBorder="1" applyAlignment="1">
      <alignment horizontal="left" vertical="center" wrapText="1"/>
      <protection/>
    </xf>
    <xf numFmtId="0" fontId="18" fillId="0" borderId="92" xfId="63" applyFont="1" applyFill="1" applyBorder="1" applyAlignment="1">
      <alignment horizontal="left" vertical="center" wrapText="1"/>
      <protection/>
    </xf>
    <xf numFmtId="0" fontId="18" fillId="0" borderId="96" xfId="63" applyFont="1" applyFill="1" applyBorder="1" applyAlignment="1">
      <alignment horizontal="left" vertical="center" wrapTex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.a-b melléklet" xfId="56"/>
    <cellStyle name="Normál_2005_zsz_10EM" xfId="57"/>
    <cellStyle name="Normál_2005_zsz_11EPJ" xfId="58"/>
    <cellStyle name="Normál_2005_zsz_12EPM" xfId="59"/>
    <cellStyle name="Normál_2005_zsz_13ERK" xfId="60"/>
    <cellStyle name="Normál_2009.évi" xfId="61"/>
    <cellStyle name="Normal_KARSZJ3" xfId="62"/>
    <cellStyle name="Normál_Mellékletek rendeleti" xfId="63"/>
    <cellStyle name="Normál_zárszámadás2007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76200</xdr:rowOff>
    </xdr:from>
    <xdr:to>
      <xdr:col>10</xdr:col>
      <xdr:colOff>323850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95575" y="76200"/>
          <a:ext cx="4638675" cy="5715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1.  sz. melléklet a 6/2010. (IV. 29.) önk. rendelethez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ELŐIRÁNYZAT - FELHASZNÁLÁSI ÜTEMTERV
</a:t>
          </a:r>
          <a:r>
            <a:rPr lang="en-US" cap="none" sz="700" b="1" i="0" u="none" baseline="0">
              <a:solidFill>
                <a:srgbClr val="000000"/>
              </a:solidFill>
            </a:rPr>
            <a:t>( Az előirányzatok felhasználásának alakulásáról 2009. évben 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1</xdr:row>
      <xdr:rowOff>57150</xdr:rowOff>
    </xdr:from>
    <xdr:to>
      <xdr:col>4</xdr:col>
      <xdr:colOff>390525</xdr:colOff>
      <xdr:row>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228850" y="200025"/>
          <a:ext cx="4981575" cy="7143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7. számú melléklet a 6/2010. (IV. 29.) önk. rendelethez
</a:t>
          </a:r>
          <a:r>
            <a:rPr lang="en-US" cap="none" sz="10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1000" b="1" i="0" u="none" baseline="0">
              <a:solidFill>
                <a:srgbClr val="000000"/>
              </a:solidFill>
            </a:rPr>
            <a:t>2009. ÉVI CÉLTARTALÉKA
</a:t>
          </a:r>
          <a:r>
            <a:rPr lang="en-US" cap="none" sz="1000" b="1" i="0" u="none" baseline="0">
              <a:solidFill>
                <a:srgbClr val="000000"/>
              </a:solidFill>
            </a:rPr>
            <a:t>(feladatonként)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1866900</xdr:colOff>
      <xdr:row>0</xdr:row>
      <xdr:rowOff>95250</xdr:rowOff>
    </xdr:from>
    <xdr:to>
      <xdr:col>8</xdr:col>
      <xdr:colOff>47625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543175" y="95250"/>
          <a:ext cx="6467475" cy="3238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8. sz. melléklet a 6/2010. (IV. 29.) önk.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TÖBB ÉVES KIHATÁSSAL JÁRÓ FELADATOK ELŐIRÁNYZATAI ÉVES BONTÁSBAN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8</xdr:col>
      <xdr:colOff>219075</xdr:colOff>
      <xdr:row>2</xdr:row>
      <xdr:rowOff>123825</xdr:rowOff>
    </xdr:to>
    <xdr:sp>
      <xdr:nvSpPr>
        <xdr:cNvPr id="1" name="Szöveg 1" descr="5%-os"/>
        <xdr:cNvSpPr>
          <a:spLocks/>
        </xdr:cNvSpPr>
      </xdr:nvSpPr>
      <xdr:spPr>
        <a:xfrm>
          <a:off x="600075" y="104775"/>
          <a:ext cx="5553075" cy="333375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9. sz.  melléklet a 6/2010. (IV. 29.) önk. rendelethez
</a:t>
          </a:r>
          <a:r>
            <a:rPr lang="en-US" cap="none" sz="800" b="0" i="0" u="none" baseline="0">
              <a:solidFill>
                <a:srgbClr val="000000"/>
              </a:solidFill>
            </a:rPr>
            <a:t>Kiskőrös Város 2009. évi Európai Uniós forrás bevonásával teljesített programjai és beruházásai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1619250</xdr:colOff>
      <xdr:row>0</xdr:row>
      <xdr:rowOff>0</xdr:rowOff>
    </xdr:from>
    <xdr:to>
      <xdr:col>9</xdr:col>
      <xdr:colOff>276225</xdr:colOff>
      <xdr:row>2</xdr:row>
      <xdr:rowOff>57150</xdr:rowOff>
    </xdr:to>
    <xdr:sp>
      <xdr:nvSpPr>
        <xdr:cNvPr id="1" name="Szöveg 1" descr="5%-os"/>
        <xdr:cNvSpPr>
          <a:spLocks/>
        </xdr:cNvSpPr>
      </xdr:nvSpPr>
      <xdr:spPr>
        <a:xfrm>
          <a:off x="2028825" y="0"/>
          <a:ext cx="7229475" cy="38100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10. sz.  melléklet a 6/2010. (IV. 29.) önk. rendelethez
</a:t>
          </a:r>
          <a:r>
            <a:rPr lang="en-US" cap="none" sz="800" b="0" i="0" u="none" baseline="0">
              <a:solidFill>
                <a:srgbClr val="000000"/>
              </a:solidFill>
            </a:rPr>
            <a:t>Önkormányzati hitelek és nyújtott kölcsönök állománya lejárat, hitelezők/kötelezettek és eszköz részletezettsége szerint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66675</xdr:rowOff>
    </xdr:from>
    <xdr:to>
      <xdr:col>14</xdr:col>
      <xdr:colOff>0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514600" y="66675"/>
          <a:ext cx="5610225" cy="4857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 számú melléklet a 6/2010. (IV. 29.) önk. rendelethez
</a:t>
          </a:r>
          <a:r>
            <a:rPr lang="en-US" cap="none" sz="1000" b="0" i="0" u="none" baseline="0">
              <a:solidFill>
                <a:srgbClr val="000000"/>
              </a:solidFill>
            </a:rPr>
            <a:t>Intézményi és központosított pénzmaradványok a 2009. évben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1685925</xdr:colOff>
      <xdr:row>0</xdr:row>
      <xdr:rowOff>0</xdr:rowOff>
    </xdr:from>
    <xdr:to>
      <xdr:col>10</xdr:col>
      <xdr:colOff>333375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219325" y="0"/>
          <a:ext cx="5753100" cy="6000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12. számú melléklet a 6/2010. (IV. 29.) önk. rendelethez
</a:t>
          </a:r>
          <a:r>
            <a:rPr lang="en-US" cap="none" sz="1000" b="0" i="0" u="none" baseline="0">
              <a:solidFill>
                <a:srgbClr val="000000"/>
              </a:solidFill>
            </a:rPr>
            <a:t>2009. ÉVI PÉNZMARADVÁNY ÉS AZ ELŐZŐ ÉVBEN KÉPZETT TARTALÉK FELOSZTÁSA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1495425</xdr:colOff>
      <xdr:row>0</xdr:row>
      <xdr:rowOff>133350</xdr:rowOff>
    </xdr:from>
    <xdr:to>
      <xdr:col>4</xdr:col>
      <xdr:colOff>619125</xdr:colOff>
      <xdr:row>5</xdr:row>
      <xdr:rowOff>38100</xdr:rowOff>
    </xdr:to>
    <xdr:sp>
      <xdr:nvSpPr>
        <xdr:cNvPr id="1" name="Szöveg 1" descr="5%-os"/>
        <xdr:cNvSpPr>
          <a:spLocks/>
        </xdr:cNvSpPr>
      </xdr:nvSpPr>
      <xdr:spPr>
        <a:xfrm>
          <a:off x="1495425" y="123825"/>
          <a:ext cx="3562350" cy="68580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13. sz.  melléklet a 6/2010. (IV. 29.) önk. rendelethez
</a:t>
          </a:r>
          <a:r>
            <a:rPr lang="en-US" cap="none" sz="800" b="1" i="0" u="none" baseline="0">
              <a:solidFill>
                <a:srgbClr val="000000"/>
              </a:solidFill>
            </a:rPr>
            <a:t>EGYSZERŰSÍTETT MÉRLEG
</a:t>
          </a:r>
          <a:r>
            <a:rPr lang="en-US" cap="none" sz="800" b="1" i="0" u="none" baseline="0">
              <a:solidFill>
                <a:srgbClr val="000000"/>
              </a:solidFill>
            </a:rPr>
            <a:t>2009. december 31.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1</xdr:row>
      <xdr:rowOff>152400</xdr:rowOff>
    </xdr:from>
    <xdr:to>
      <xdr:col>3</xdr:col>
      <xdr:colOff>209550</xdr:colOff>
      <xdr:row>7</xdr:row>
      <xdr:rowOff>28575</xdr:rowOff>
    </xdr:to>
    <xdr:sp>
      <xdr:nvSpPr>
        <xdr:cNvPr id="1" name="Szöveg 1" descr="5%-os"/>
        <xdr:cNvSpPr>
          <a:spLocks/>
        </xdr:cNvSpPr>
      </xdr:nvSpPr>
      <xdr:spPr>
        <a:xfrm>
          <a:off x="1543050" y="295275"/>
          <a:ext cx="3495675" cy="81915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14. sz. melléklet a 6/2010. (IV. 29.) önk. rendelethez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EGYSZERŰSÍTETT ÉVES PÉNZFORGALMI JELENTÉS
</a:t>
          </a:r>
          <a:r>
            <a:rPr lang="en-US" cap="none" sz="800" b="1" i="0" u="none" baseline="0">
              <a:solidFill>
                <a:srgbClr val="000000"/>
              </a:solidFill>
            </a:rPr>
            <a:t>2009. december 31.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28575</xdr:rowOff>
    </xdr:from>
    <xdr:to>
      <xdr:col>7</xdr:col>
      <xdr:colOff>76200</xdr:colOff>
      <xdr:row>6</xdr:row>
      <xdr:rowOff>0</xdr:rowOff>
    </xdr:to>
    <xdr:sp>
      <xdr:nvSpPr>
        <xdr:cNvPr id="1" name="Szöveg 1" descr="5%-os"/>
        <xdr:cNvSpPr>
          <a:spLocks/>
        </xdr:cNvSpPr>
      </xdr:nvSpPr>
      <xdr:spPr>
        <a:xfrm>
          <a:off x="542925" y="180975"/>
          <a:ext cx="5114925" cy="771525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15. számú melléklet a 6/2010. (IV. 29.) önk. rendelethez
</a:t>
          </a:r>
          <a:r>
            <a:rPr lang="en-US" cap="none" sz="800" b="1" i="0" u="none" baseline="0">
              <a:solidFill>
                <a:srgbClr val="000000"/>
              </a:solidFill>
            </a:rPr>
            <a:t>EGYSZERŰSÍTETT PÉNZMARADVÁNY-KIMUTATÁS
</a:t>
          </a:r>
          <a:r>
            <a:rPr lang="en-US" cap="none" sz="800" b="1" i="0" u="none" baseline="0">
              <a:solidFill>
                <a:srgbClr val="000000"/>
              </a:solidFill>
            </a:rPr>
            <a:t>2009. december 31.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1</xdr:row>
      <xdr:rowOff>9525</xdr:rowOff>
    </xdr:from>
    <xdr:to>
      <xdr:col>6</xdr:col>
      <xdr:colOff>523875</xdr:colOff>
      <xdr:row>8</xdr:row>
      <xdr:rowOff>38100</xdr:rowOff>
    </xdr:to>
    <xdr:sp>
      <xdr:nvSpPr>
        <xdr:cNvPr id="1" name="Szöveg 1"/>
        <xdr:cNvSpPr>
          <a:spLocks/>
        </xdr:cNvSpPr>
      </xdr:nvSpPr>
      <xdr:spPr>
        <a:xfrm>
          <a:off x="1352550" y="142875"/>
          <a:ext cx="5305425" cy="1123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16. sz. melléklet a 6/2010. (IV. 29.) sz. önk. rendelethez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AZ EGYSZERŰSÍTETT EREDMÉNYKIMUTATÁS
</a:t>
          </a:r>
          <a:r>
            <a:rPr lang="en-US" cap="none" sz="800" b="1" i="0" u="none" baseline="0">
              <a:solidFill>
                <a:srgbClr val="000000"/>
              </a:solidFill>
            </a:rPr>
            <a:t>2009. december 31.</a:t>
          </a:r>
        </a:p>
      </xdr:txBody>
    </xdr:sp>
    <xdr:clientData/>
  </xdr:twoCellAnchor>
  <xdr:twoCellAnchor>
    <xdr:from>
      <xdr:col>3</xdr:col>
      <xdr:colOff>381000</xdr:colOff>
      <xdr:row>11</xdr:row>
      <xdr:rowOff>114300</xdr:rowOff>
    </xdr:from>
    <xdr:to>
      <xdr:col>4</xdr:col>
      <xdr:colOff>57150</xdr:colOff>
      <xdr:row>12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00500" y="1762125"/>
          <a:ext cx="3714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6</xdr:col>
      <xdr:colOff>342900</xdr:colOff>
      <xdr:row>11</xdr:row>
      <xdr:rowOff>76200</xdr:rowOff>
    </xdr:from>
    <xdr:to>
      <xdr:col>7</xdr:col>
      <xdr:colOff>142875</xdr:colOff>
      <xdr:row>12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77000" y="172402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9525</xdr:rowOff>
    </xdr:from>
    <xdr:to>
      <xdr:col>3</xdr:col>
      <xdr:colOff>600075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485900" y="9525"/>
          <a:ext cx="3381375" cy="3429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6/2010. (IV. 29.) önk. rendelethez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2009. ÉVI KÖLTSÉGVETÉSÉNEK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0</xdr:row>
      <xdr:rowOff>19050</xdr:rowOff>
    </xdr:from>
    <xdr:to>
      <xdr:col>4</xdr:col>
      <xdr:colOff>228600</xdr:colOff>
      <xdr:row>2</xdr:row>
      <xdr:rowOff>9525</xdr:rowOff>
    </xdr:to>
    <xdr:sp>
      <xdr:nvSpPr>
        <xdr:cNvPr id="1" name="Szöveg 1" descr="5%-os"/>
        <xdr:cNvSpPr>
          <a:spLocks/>
        </xdr:cNvSpPr>
      </xdr:nvSpPr>
      <xdr:spPr>
        <a:xfrm>
          <a:off x="1990725" y="19050"/>
          <a:ext cx="3400425" cy="30480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17. sz.  melléklet a 6/2010. (IV. 29.) önk. rendelethez
</a:t>
          </a:r>
          <a:r>
            <a:rPr lang="en-US" cap="none" sz="800" b="0" i="0" u="none" baseline="0">
              <a:solidFill>
                <a:srgbClr val="000000"/>
              </a:solidFill>
            </a:rPr>
            <a:t>Önkormányzat vagyonkimutatása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9525</xdr:rowOff>
    </xdr:from>
    <xdr:to>
      <xdr:col>4</xdr:col>
      <xdr:colOff>95250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771525" y="9525"/>
          <a:ext cx="4181475" cy="371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6/2010. (IV. 29.) önk. rendelethez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2009. ÉVI KÖLTSÉGVETÉSÉNEK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9525</xdr:rowOff>
    </xdr:from>
    <xdr:to>
      <xdr:col>3</xdr:col>
      <xdr:colOff>600075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438275" y="9525"/>
          <a:ext cx="3476625" cy="3905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2./C számú melléklet a 6/2010. (IV. 29.) önk. rendelethez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CIGÁNY KISEBBSÉGI ÖNKORMÁNYZAT 2009. ÉVI KÖLTSÉGVETÉSÉNEK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</xdr:rowOff>
    </xdr:from>
    <xdr:to>
      <xdr:col>4</xdr:col>
      <xdr:colOff>428625</xdr:colOff>
      <xdr:row>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85750" y="152400"/>
          <a:ext cx="5086350" cy="3429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6/2010. (IV. 29.)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2009. ÉVI KÖLTSÉGVETÉSÉNEK ÖSSZEVONT MÉRLEGE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0</xdr:row>
      <xdr:rowOff>0</xdr:rowOff>
    </xdr:from>
    <xdr:to>
      <xdr:col>8</xdr:col>
      <xdr:colOff>142875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657350" y="0"/>
          <a:ext cx="4629150" cy="5238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4. számú melléklet a  6/2010. (IV. 29.) önk.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INTÉZMÉNYEK 2009. ÉVI BEVÉTELEI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76200</xdr:rowOff>
    </xdr:from>
    <xdr:to>
      <xdr:col>5</xdr:col>
      <xdr:colOff>361950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85750" y="76200"/>
          <a:ext cx="5276850" cy="3333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sz. melléklet a 6/2010. (IV. 29.) önk.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2009. ÉVI KÖLTSÉGVETÉSÉNEK BEVÉTELEI ÉS KIADÁSAI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0</xdr:row>
      <xdr:rowOff>0</xdr:rowOff>
    </xdr:from>
    <xdr:to>
      <xdr:col>13</xdr:col>
      <xdr:colOff>142875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85875" y="0"/>
          <a:ext cx="8791575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 számú melléklet a 6/2010.  (IV. 29.) önk. rendelethez
</a:t>
          </a:r>
          <a:r>
            <a:rPr lang="en-US" cap="none" sz="1000" b="0" i="0" u="none" baseline="0">
              <a:solidFill>
                <a:srgbClr val="000000"/>
              </a:solidFill>
            </a:rPr>
            <a:t>2009. ÉVI KÖLTSÉGVETÉSI KIADÁSOK (Címek, alcímek és kiemelt előirányzatok szerint)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28575</xdr:rowOff>
    </xdr:from>
    <xdr:to>
      <xdr:col>4</xdr:col>
      <xdr:colOff>647700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5775" y="28575"/>
          <a:ext cx="5372100" cy="4286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6. számú melléklet a 6/2010. (IV. 29.)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BERUHÁZÁSOK, FELÚJÍTÁSOK ÉS EGYÉB FELHALMOZÁSI JELLEGŰ KIADÁSOK
</a:t>
          </a:r>
          <a:r>
            <a:rPr lang="en-US" cap="none" sz="700" b="1" i="0" u="none" baseline="0">
              <a:solidFill>
                <a:srgbClr val="000000"/>
              </a:solidFill>
            </a:rPr>
            <a:t>( feladatonként és célonként 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roszizsuzsanna\Dokumentumok\TEST&#220;LET\rendeletek\z&#225;rsz&#225;mad&#225;s\2010%20&#225;prilis\z&#225;rsz&#225;m2007.v&#233;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kim"/>
      <sheetName val="2.a ki"/>
      <sheetName val="2.b kim"/>
      <sheetName val="3.kim"/>
      <sheetName val="4 ki"/>
      <sheetName val="Ef.1"/>
      <sheetName val="szlk"/>
      <sheetName val="cig"/>
      <sheetName val="ném"/>
      <sheetName val="össz 2"/>
      <sheetName val="(3)"/>
      <sheetName val="(4)"/>
      <sheetName val="(5)"/>
      <sheetName val="(6)"/>
      <sheetName val="(7)"/>
      <sheetName val="8."/>
      <sheetName val="9."/>
      <sheetName val="10l"/>
      <sheetName val="11."/>
      <sheetName val="12l"/>
      <sheetName val="13.mell"/>
      <sheetName val="14.mell"/>
      <sheetName val="15.mell"/>
      <sheetName val="16.mell"/>
      <sheetName val="17.mell"/>
    </sheetNames>
    <sheetDataSet>
      <sheetData sheetId="12">
        <row r="19">
          <cell r="G19">
            <v>0</v>
          </cell>
          <cell r="H19">
            <v>0</v>
          </cell>
        </row>
        <row r="20">
          <cell r="G20">
            <v>0</v>
          </cell>
          <cell r="H20">
            <v>0</v>
          </cell>
        </row>
        <row r="687">
          <cell r="G687">
            <v>0</v>
          </cell>
        </row>
        <row r="688">
          <cell r="G6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view="pageBreakPreview" zoomScale="160" zoomScaleSheetLayoutView="160" zoomScalePageLayoutView="0" workbookViewId="0" topLeftCell="A1">
      <pane xSplit="2" topLeftCell="C1" activePane="topRight" state="frozen"/>
      <selection pane="topLeft" activeCell="L18" sqref="L18"/>
      <selection pane="topRight" activeCell="J19" sqref="J19"/>
    </sheetView>
  </sheetViews>
  <sheetFormatPr defaultColWidth="7.75390625" defaultRowHeight="12.75"/>
  <cols>
    <col min="1" max="1" width="3.125" style="1" customWidth="1"/>
    <col min="2" max="2" width="30.875" style="946" customWidth="1"/>
    <col min="3" max="14" width="7.25390625" style="946" customWidth="1"/>
    <col min="15" max="15" width="8.75390625" style="946" customWidth="1"/>
    <col min="16" max="16384" width="7.75390625" style="1" customWidth="1"/>
  </cols>
  <sheetData>
    <row r="3" ht="12.75">
      <c r="M3" s="947"/>
    </row>
    <row r="5" spans="12:15" ht="13.5" thickBot="1">
      <c r="L5" s="948"/>
      <c r="O5" s="949" t="s">
        <v>94</v>
      </c>
    </row>
    <row r="6" spans="1:15" ht="13.5" thickBot="1">
      <c r="A6" s="1245" t="s">
        <v>95</v>
      </c>
      <c r="B6" s="1246"/>
      <c r="C6" s="1246"/>
      <c r="D6" s="1246"/>
      <c r="E6" s="1246"/>
      <c r="F6" s="1246"/>
      <c r="G6" s="1246"/>
      <c r="H6" s="1246"/>
      <c r="I6" s="1246"/>
      <c r="J6" s="1246"/>
      <c r="K6" s="1246"/>
      <c r="L6" s="1246"/>
      <c r="M6" s="1246"/>
      <c r="N6" s="1246"/>
      <c r="O6" s="1247"/>
    </row>
    <row r="7" spans="1:15" s="978" customFormat="1" ht="10.5">
      <c r="A7" s="974"/>
      <c r="B7" s="975"/>
      <c r="C7" s="976" t="s">
        <v>96</v>
      </c>
      <c r="D7" s="976" t="s">
        <v>97</v>
      </c>
      <c r="E7" s="976" t="s">
        <v>98</v>
      </c>
      <c r="F7" s="976" t="s">
        <v>99</v>
      </c>
      <c r="G7" s="976" t="s">
        <v>100</v>
      </c>
      <c r="H7" s="976" t="s">
        <v>101</v>
      </c>
      <c r="I7" s="976" t="s">
        <v>102</v>
      </c>
      <c r="J7" s="976" t="s">
        <v>103</v>
      </c>
      <c r="K7" s="976" t="s">
        <v>104</v>
      </c>
      <c r="L7" s="976" t="s">
        <v>105</v>
      </c>
      <c r="M7" s="976" t="s">
        <v>106</v>
      </c>
      <c r="N7" s="976" t="s">
        <v>107</v>
      </c>
      <c r="O7" s="977" t="s">
        <v>108</v>
      </c>
    </row>
    <row r="8" spans="1:15" ht="12.75">
      <c r="A8" s="435" t="s">
        <v>109</v>
      </c>
      <c r="B8" s="950" t="s">
        <v>110</v>
      </c>
      <c r="C8" s="951">
        <f>1819+154</f>
        <v>1973</v>
      </c>
      <c r="D8" s="951">
        <f>347+33</f>
        <v>380</v>
      </c>
      <c r="E8" s="951">
        <v>6933</v>
      </c>
      <c r="F8" s="951">
        <v>950</v>
      </c>
      <c r="G8" s="951">
        <v>21</v>
      </c>
      <c r="H8" s="951">
        <f>4410+14</f>
        <v>4424</v>
      </c>
      <c r="I8" s="951">
        <v>5156</v>
      </c>
      <c r="J8" s="951">
        <f>2+919</f>
        <v>921</v>
      </c>
      <c r="K8" s="951">
        <v>9583</v>
      </c>
      <c r="L8" s="951">
        <v>4992</v>
      </c>
      <c r="M8" s="951">
        <v>8848</v>
      </c>
      <c r="N8" s="951">
        <v>17237</v>
      </c>
      <c r="O8" s="952">
        <f>SUM(C8:N8)</f>
        <v>61418</v>
      </c>
    </row>
    <row r="9" spans="1:15" ht="12.75">
      <c r="A9" s="436" t="s">
        <v>111</v>
      </c>
      <c r="B9" s="953" t="s">
        <v>112</v>
      </c>
      <c r="C9" s="954">
        <v>8860</v>
      </c>
      <c r="D9" s="954">
        <f>5611</f>
        <v>5611</v>
      </c>
      <c r="E9" s="954">
        <v>676</v>
      </c>
      <c r="F9" s="954">
        <v>5324</v>
      </c>
      <c r="G9" s="954">
        <v>7618</v>
      </c>
      <c r="H9" s="954">
        <v>14952</v>
      </c>
      <c r="I9" s="951">
        <v>9561</v>
      </c>
      <c r="J9" s="951">
        <v>11983</v>
      </c>
      <c r="K9" s="951">
        <v>12223</v>
      </c>
      <c r="L9" s="954">
        <v>13823</v>
      </c>
      <c r="M9" s="954">
        <v>8799</v>
      </c>
      <c r="N9" s="954">
        <f>44+8864</f>
        <v>8908</v>
      </c>
      <c r="O9" s="952">
        <f aca="true" t="shared" si="0" ref="O9:O16">SUM(C9:N9)</f>
        <v>108338</v>
      </c>
    </row>
    <row r="10" spans="1:15" ht="12.75">
      <c r="A10" s="436" t="s">
        <v>113</v>
      </c>
      <c r="B10" s="953" t="s">
        <v>114</v>
      </c>
      <c r="C10" s="954">
        <f>1408+3654</f>
        <v>5062</v>
      </c>
      <c r="D10" s="954">
        <f>894+780</f>
        <v>1674</v>
      </c>
      <c r="E10" s="954">
        <f>34479+120059</f>
        <v>154538</v>
      </c>
      <c r="F10" s="954">
        <f>36617+21988</f>
        <v>58605</v>
      </c>
      <c r="G10" s="954">
        <f>4534+14908</f>
        <v>19442</v>
      </c>
      <c r="H10" s="954">
        <f>2139+13169</f>
        <v>15308</v>
      </c>
      <c r="I10" s="954">
        <f>2583+9866</f>
        <v>12449</v>
      </c>
      <c r="J10" s="951">
        <f>1486+2625</f>
        <v>4111</v>
      </c>
      <c r="K10" s="951">
        <f>36459+179900</f>
        <v>216359</v>
      </c>
      <c r="L10" s="954">
        <f>4480+6692</f>
        <v>11172</v>
      </c>
      <c r="M10" s="954">
        <f>2858+2620</f>
        <v>5478</v>
      </c>
      <c r="N10" s="954">
        <f>3671+57841-1</f>
        <v>61511</v>
      </c>
      <c r="O10" s="952">
        <f t="shared" si="0"/>
        <v>565709</v>
      </c>
    </row>
    <row r="11" spans="1:15" ht="12.75">
      <c r="A11" s="436" t="s">
        <v>115</v>
      </c>
      <c r="B11" s="953" t="s">
        <v>116</v>
      </c>
      <c r="C11" s="954">
        <f>54543</f>
        <v>54543</v>
      </c>
      <c r="D11" s="954">
        <v>34089</v>
      </c>
      <c r="E11" s="954">
        <v>25756</v>
      </c>
      <c r="F11" s="954">
        <v>29544</v>
      </c>
      <c r="G11" s="954">
        <v>29544</v>
      </c>
      <c r="H11" s="954">
        <v>29554</v>
      </c>
      <c r="I11" s="954">
        <v>29554</v>
      </c>
      <c r="J11" s="951">
        <v>34089</v>
      </c>
      <c r="K11" s="951">
        <v>-6957</v>
      </c>
      <c r="L11" s="954">
        <v>26239</v>
      </c>
      <c r="M11" s="954">
        <v>26239</v>
      </c>
      <c r="N11" s="954">
        <f>-18+24220</f>
        <v>24202</v>
      </c>
      <c r="O11" s="952">
        <f t="shared" si="0"/>
        <v>336396</v>
      </c>
    </row>
    <row r="12" spans="1:15" ht="12.75">
      <c r="A12" s="436" t="s">
        <v>117</v>
      </c>
      <c r="B12" s="953" t="s">
        <v>118</v>
      </c>
      <c r="C12" s="954">
        <v>0</v>
      </c>
      <c r="D12" s="954">
        <v>0</v>
      </c>
      <c r="E12" s="954">
        <f>88+1201</f>
        <v>1289</v>
      </c>
      <c r="F12" s="954">
        <f>12+1986+20+842</f>
        <v>2860</v>
      </c>
      <c r="G12" s="954">
        <f>163+658+7-1</f>
        <v>827</v>
      </c>
      <c r="H12" s="954">
        <v>0</v>
      </c>
      <c r="I12" s="954">
        <f>82+365+70+1008-11</f>
        <v>1514</v>
      </c>
      <c r="J12" s="951">
        <f>53+169+4013+12-4002</f>
        <v>245</v>
      </c>
      <c r="K12" s="951">
        <f>2628+115+1935+40</f>
        <v>4718</v>
      </c>
      <c r="L12" s="954">
        <f>60+139+1015+2</f>
        <v>1216</v>
      </c>
      <c r="M12" s="954">
        <f>53+324+476+6</f>
        <v>859</v>
      </c>
      <c r="N12" s="954"/>
      <c r="O12" s="952">
        <f t="shared" si="0"/>
        <v>13528</v>
      </c>
    </row>
    <row r="13" spans="1:15" ht="12.75">
      <c r="A13" s="436" t="s">
        <v>119</v>
      </c>
      <c r="B13" s="955" t="s">
        <v>120</v>
      </c>
      <c r="C13" s="954">
        <v>68668</v>
      </c>
      <c r="D13" s="954">
        <v>50091</v>
      </c>
      <c r="E13" s="954">
        <v>39710</v>
      </c>
      <c r="F13" s="954">
        <v>43884</v>
      </c>
      <c r="G13" s="954">
        <v>47342</v>
      </c>
      <c r="H13" s="954">
        <v>52398</v>
      </c>
      <c r="I13" s="954">
        <v>47174</v>
      </c>
      <c r="J13" s="951">
        <v>55094</v>
      </c>
      <c r="K13" s="951">
        <v>50142</v>
      </c>
      <c r="L13" s="954">
        <v>50644</v>
      </c>
      <c r="M13" s="954">
        <v>43701</v>
      </c>
      <c r="N13" s="954">
        <v>40077</v>
      </c>
      <c r="O13" s="952">
        <f t="shared" si="0"/>
        <v>588925</v>
      </c>
    </row>
    <row r="14" spans="1:15" ht="12.75">
      <c r="A14" s="436" t="s">
        <v>121</v>
      </c>
      <c r="B14" s="956" t="s">
        <v>331</v>
      </c>
      <c r="C14" s="954">
        <v>2784</v>
      </c>
      <c r="D14" s="954">
        <f>3131+341-335</f>
        <v>3137</v>
      </c>
      <c r="E14" s="954">
        <v>9233</v>
      </c>
      <c r="F14" s="954">
        <v>6569</v>
      </c>
      <c r="G14" s="954">
        <v>10688</v>
      </c>
      <c r="H14" s="954">
        <v>11056</v>
      </c>
      <c r="I14" s="954">
        <f>7842</f>
        <v>7842</v>
      </c>
      <c r="J14" s="951">
        <f>9496+130</f>
        <v>9626</v>
      </c>
      <c r="K14" s="951">
        <f>6648</f>
        <v>6648</v>
      </c>
      <c r="L14" s="954">
        <f>4810</f>
        <v>4810</v>
      </c>
      <c r="M14" s="954">
        <f>7727</f>
        <v>7727</v>
      </c>
      <c r="N14" s="954">
        <v>3893</v>
      </c>
      <c r="O14" s="952">
        <f t="shared" si="0"/>
        <v>84013</v>
      </c>
    </row>
    <row r="15" spans="1:15" ht="12.75">
      <c r="A15" s="436" t="s">
        <v>122</v>
      </c>
      <c r="B15" s="953" t="s">
        <v>123</v>
      </c>
      <c r="C15" s="954">
        <v>0</v>
      </c>
      <c r="D15" s="954">
        <v>0</v>
      </c>
      <c r="E15" s="954">
        <v>0</v>
      </c>
      <c r="F15" s="954">
        <v>0</v>
      </c>
      <c r="G15" s="954">
        <v>0</v>
      </c>
      <c r="H15" s="954">
        <v>0</v>
      </c>
      <c r="I15" s="954"/>
      <c r="J15" s="951"/>
      <c r="K15" s="951"/>
      <c r="L15" s="954"/>
      <c r="M15" s="954"/>
      <c r="N15" s="954"/>
      <c r="O15" s="952">
        <f t="shared" si="0"/>
        <v>0</v>
      </c>
    </row>
    <row r="16" spans="1:15" ht="12.75">
      <c r="A16" s="436" t="s">
        <v>124</v>
      </c>
      <c r="B16" s="953" t="s">
        <v>125</v>
      </c>
      <c r="C16" s="954">
        <f>1988+57+126+21+1232-82</f>
        <v>3342</v>
      </c>
      <c r="D16" s="954">
        <f>2438</f>
        <v>2438</v>
      </c>
      <c r="E16" s="954">
        <v>19575</v>
      </c>
      <c r="F16" s="954">
        <f>959+8230</f>
        <v>9189</v>
      </c>
      <c r="G16" s="954">
        <f>25952</f>
        <v>25952</v>
      </c>
      <c r="H16" s="954">
        <f>7+9961</f>
        <v>9968</v>
      </c>
      <c r="I16" s="954">
        <f>8477+110</f>
        <v>8587</v>
      </c>
      <c r="J16" s="951">
        <f>-130+6491</f>
        <v>6361</v>
      </c>
      <c r="K16" s="951">
        <v>26724</v>
      </c>
      <c r="L16" s="954">
        <f>3339</f>
        <v>3339</v>
      </c>
      <c r="M16" s="954">
        <v>2959</v>
      </c>
      <c r="N16" s="954">
        <v>3496</v>
      </c>
      <c r="O16" s="952">
        <f t="shared" si="0"/>
        <v>121930</v>
      </c>
    </row>
    <row r="17" spans="1:15" ht="13.5" thickBot="1">
      <c r="A17" s="888" t="s">
        <v>126</v>
      </c>
      <c r="B17" s="957" t="s">
        <v>430</v>
      </c>
      <c r="C17" s="958">
        <v>0</v>
      </c>
      <c r="D17" s="958">
        <v>0</v>
      </c>
      <c r="E17" s="958">
        <v>0</v>
      </c>
      <c r="F17" s="958">
        <v>0</v>
      </c>
      <c r="G17" s="958">
        <v>0</v>
      </c>
      <c r="H17" s="958">
        <v>0</v>
      </c>
      <c r="I17" s="958"/>
      <c r="J17" s="958">
        <v>422</v>
      </c>
      <c r="K17" s="958"/>
      <c r="L17" s="958"/>
      <c r="M17" s="958"/>
      <c r="N17" s="958"/>
      <c r="O17" s="959">
        <f>J17</f>
        <v>422</v>
      </c>
    </row>
    <row r="18" spans="1:15" s="2" customFormat="1" ht="14.25" thickBot="1" thickTop="1">
      <c r="A18" s="1248" t="s">
        <v>108</v>
      </c>
      <c r="B18" s="1249"/>
      <c r="C18" s="960">
        <f aca="true" t="shared" si="1" ref="C18:N18">SUM(C8:C16)</f>
        <v>145232</v>
      </c>
      <c r="D18" s="960">
        <f t="shared" si="1"/>
        <v>97420</v>
      </c>
      <c r="E18" s="960">
        <f>SUM(E8:E17)</f>
        <v>257710</v>
      </c>
      <c r="F18" s="960">
        <f>SUM(F8:F16)</f>
        <v>156925</v>
      </c>
      <c r="G18" s="960">
        <f t="shared" si="1"/>
        <v>141434</v>
      </c>
      <c r="H18" s="960">
        <f t="shared" si="1"/>
        <v>137660</v>
      </c>
      <c r="I18" s="960">
        <f t="shared" si="1"/>
        <v>121837</v>
      </c>
      <c r="J18" s="960">
        <f>SUM(J8:J17)</f>
        <v>122852</v>
      </c>
      <c r="K18" s="960">
        <f t="shared" si="1"/>
        <v>319440</v>
      </c>
      <c r="L18" s="960">
        <f>SUM(L8:L17)</f>
        <v>116235</v>
      </c>
      <c r="M18" s="960">
        <f t="shared" si="1"/>
        <v>104610</v>
      </c>
      <c r="N18" s="960">
        <f t="shared" si="1"/>
        <v>159324</v>
      </c>
      <c r="O18" s="961">
        <f>SUM(O8:O17)</f>
        <v>1880679</v>
      </c>
    </row>
    <row r="19" spans="1:15" ht="7.5" customHeight="1" thickBot="1" thickTop="1">
      <c r="A19" s="437"/>
      <c r="B19" s="962"/>
      <c r="C19" s="963"/>
      <c r="D19" s="964"/>
      <c r="E19" s="964"/>
      <c r="F19" s="964"/>
      <c r="G19" s="964"/>
      <c r="H19" s="964"/>
      <c r="I19" s="964"/>
      <c r="J19" s="964"/>
      <c r="K19" s="964"/>
      <c r="L19" s="964"/>
      <c r="M19" s="964"/>
      <c r="N19" s="964"/>
      <c r="O19" s="965"/>
    </row>
    <row r="20" spans="1:15" ht="7.5" customHeight="1">
      <c r="A20" s="3"/>
      <c r="B20" s="957"/>
      <c r="C20" s="957"/>
      <c r="D20" s="957"/>
      <c r="E20" s="957"/>
      <c r="F20" s="957"/>
      <c r="G20" s="957"/>
      <c r="H20" s="957"/>
      <c r="I20" s="957"/>
      <c r="J20" s="957"/>
      <c r="K20" s="957"/>
      <c r="L20" s="957"/>
      <c r="M20" s="957"/>
      <c r="N20" s="957"/>
      <c r="O20" s="966"/>
    </row>
    <row r="21" spans="1:15" ht="13.5" thickBot="1">
      <c r="A21" s="3"/>
      <c r="B21" s="957"/>
      <c r="C21" s="957"/>
      <c r="D21" s="957"/>
      <c r="E21" s="957"/>
      <c r="F21" s="957"/>
      <c r="G21" s="957"/>
      <c r="H21" s="957"/>
      <c r="I21" s="957"/>
      <c r="J21" s="957"/>
      <c r="K21" s="957"/>
      <c r="L21" s="957"/>
      <c r="M21" s="957"/>
      <c r="N21" s="957"/>
      <c r="O21" s="967" t="s">
        <v>94</v>
      </c>
    </row>
    <row r="22" spans="1:15" ht="13.5" thickBot="1">
      <c r="A22" s="1245" t="s">
        <v>128</v>
      </c>
      <c r="B22" s="1246"/>
      <c r="C22" s="1246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7"/>
    </row>
    <row r="23" spans="1:15" s="978" customFormat="1" ht="10.5">
      <c r="A23" s="974"/>
      <c r="B23" s="975"/>
      <c r="C23" s="979" t="s">
        <v>96</v>
      </c>
      <c r="D23" s="979" t="s">
        <v>97</v>
      </c>
      <c r="E23" s="979" t="s">
        <v>98</v>
      </c>
      <c r="F23" s="979" t="s">
        <v>99</v>
      </c>
      <c r="G23" s="979" t="s">
        <v>100</v>
      </c>
      <c r="H23" s="979" t="s">
        <v>101</v>
      </c>
      <c r="I23" s="979" t="s">
        <v>102</v>
      </c>
      <c r="J23" s="979" t="s">
        <v>103</v>
      </c>
      <c r="K23" s="979" t="s">
        <v>104</v>
      </c>
      <c r="L23" s="979" t="s">
        <v>105</v>
      </c>
      <c r="M23" s="979" t="s">
        <v>106</v>
      </c>
      <c r="N23" s="979" t="s">
        <v>107</v>
      </c>
      <c r="O23" s="980" t="s">
        <v>108</v>
      </c>
    </row>
    <row r="24" spans="1:15" ht="5.25" customHeight="1">
      <c r="A24" s="438"/>
      <c r="B24" s="957"/>
      <c r="C24" s="968"/>
      <c r="D24" s="968"/>
      <c r="E24" s="968"/>
      <c r="F24" s="968"/>
      <c r="G24" s="968"/>
      <c r="H24" s="968"/>
      <c r="I24" s="968"/>
      <c r="J24" s="968"/>
      <c r="K24" s="968"/>
      <c r="L24" s="968"/>
      <c r="M24" s="968"/>
      <c r="N24" s="968"/>
      <c r="O24" s="969"/>
    </row>
    <row r="25" spans="1:15" ht="12.75">
      <c r="A25" s="440" t="s">
        <v>109</v>
      </c>
      <c r="B25" s="950" t="s">
        <v>129</v>
      </c>
      <c r="C25" s="951">
        <v>41916</v>
      </c>
      <c r="D25" s="951">
        <v>43862</v>
      </c>
      <c r="E25" s="951">
        <v>48636</v>
      </c>
      <c r="F25" s="951">
        <v>46619</v>
      </c>
      <c r="G25" s="951">
        <v>58150</v>
      </c>
      <c r="H25" s="951">
        <v>47918</v>
      </c>
      <c r="I25" s="951">
        <v>48615</v>
      </c>
      <c r="J25" s="951">
        <v>47614</v>
      </c>
      <c r="K25" s="951">
        <v>48320</v>
      </c>
      <c r="L25" s="951">
        <v>43610</v>
      </c>
      <c r="M25" s="951">
        <v>45902</v>
      </c>
      <c r="N25" s="951">
        <f>-3+52921</f>
        <v>52918</v>
      </c>
      <c r="O25" s="952">
        <f>SUM(C25:N25)</f>
        <v>574080</v>
      </c>
    </row>
    <row r="26" spans="1:15" ht="12.75">
      <c r="A26" s="436" t="s">
        <v>111</v>
      </c>
      <c r="B26" s="953" t="s">
        <v>130</v>
      </c>
      <c r="C26" s="954">
        <f>11785+409</f>
        <v>12194</v>
      </c>
      <c r="D26" s="954">
        <f>12134+411+1000</f>
        <v>13545</v>
      </c>
      <c r="E26" s="954">
        <f>12253+411+2000</f>
        <v>14664</v>
      </c>
      <c r="F26" s="954">
        <f>12533+472</f>
        <v>13005</v>
      </c>
      <c r="G26" s="954">
        <f>13593+503+3000</f>
        <v>17096</v>
      </c>
      <c r="H26" s="954">
        <f>12504+592</f>
        <v>13096</v>
      </c>
      <c r="I26" s="954">
        <f>12705+496+1000</f>
        <v>14201</v>
      </c>
      <c r="J26" s="954">
        <f>11242+431</f>
        <v>11673</v>
      </c>
      <c r="K26" s="954">
        <f>11783+440+2000</f>
        <v>14223</v>
      </c>
      <c r="L26" s="954">
        <f>10694+436</f>
        <v>11130</v>
      </c>
      <c r="M26" s="954">
        <f>11245+422</f>
        <v>11667</v>
      </c>
      <c r="N26" s="954">
        <f>12842+400+3576</f>
        <v>16818</v>
      </c>
      <c r="O26" s="952">
        <f>SUM(C26:N26)</f>
        <v>163312</v>
      </c>
    </row>
    <row r="27" spans="1:15" ht="12.75">
      <c r="A27" s="436" t="s">
        <v>113</v>
      </c>
      <c r="B27" s="953" t="s">
        <v>131</v>
      </c>
      <c r="C27" s="954">
        <f>101786-71253</f>
        <v>30533</v>
      </c>
      <c r="D27" s="954">
        <f>125892-107185</f>
        <v>18707</v>
      </c>
      <c r="E27" s="954">
        <f>142957-92622</f>
        <v>50335</v>
      </c>
      <c r="F27" s="954">
        <f>143079-115886</f>
        <v>27193</v>
      </c>
      <c r="G27" s="954">
        <f>128080-102230</f>
        <v>25850</v>
      </c>
      <c r="H27" s="954">
        <f>183095-142439</f>
        <v>40656</v>
      </c>
      <c r="I27" s="954">
        <f>133348-94234</f>
        <v>39114</v>
      </c>
      <c r="J27" s="954">
        <f>193149-161619</f>
        <v>31530</v>
      </c>
      <c r="K27" s="954">
        <f>166899-111065</f>
        <v>55834</v>
      </c>
      <c r="L27" s="954">
        <f>136435-103462</f>
        <v>32973</v>
      </c>
      <c r="M27" s="954">
        <f>140235-103334</f>
        <v>36901</v>
      </c>
      <c r="N27" s="954">
        <f>231031-143243-20659</f>
        <v>67129</v>
      </c>
      <c r="O27" s="952">
        <f aca="true" t="shared" si="2" ref="O27:O32">SUM(C27:N27)</f>
        <v>456755</v>
      </c>
    </row>
    <row r="28" spans="1:15" ht="12.75">
      <c r="A28" s="441" t="s">
        <v>115</v>
      </c>
      <c r="B28" s="970" t="s">
        <v>336</v>
      </c>
      <c r="C28" s="951"/>
      <c r="D28" s="951"/>
      <c r="E28" s="951"/>
      <c r="F28" s="951"/>
      <c r="G28" s="951"/>
      <c r="H28" s="951"/>
      <c r="I28" s="951"/>
      <c r="J28" s="951"/>
      <c r="K28" s="951"/>
      <c r="L28" s="951"/>
      <c r="M28" s="951"/>
      <c r="N28" s="951"/>
      <c r="O28" s="952">
        <f t="shared" si="2"/>
        <v>0</v>
      </c>
    </row>
    <row r="29" spans="1:15" ht="11.25" customHeight="1">
      <c r="A29" s="441" t="s">
        <v>117</v>
      </c>
      <c r="B29" s="970" t="s">
        <v>337</v>
      </c>
      <c r="C29" s="951">
        <f>10252+5760</f>
        <v>16012</v>
      </c>
      <c r="D29" s="951">
        <v>10458</v>
      </c>
      <c r="E29" s="951">
        <v>10587</v>
      </c>
      <c r="F29" s="951">
        <v>9243</v>
      </c>
      <c r="G29" s="951">
        <v>10521</v>
      </c>
      <c r="H29" s="951">
        <f>3498+9987</f>
        <v>13485</v>
      </c>
      <c r="I29" s="951">
        <f>132+12488</f>
        <v>12620</v>
      </c>
      <c r="J29" s="951">
        <f>40+9886</f>
        <v>9926</v>
      </c>
      <c r="K29" s="951">
        <f>363+10400</f>
        <v>10763</v>
      </c>
      <c r="L29" s="951">
        <f>10015</f>
        <v>10015</v>
      </c>
      <c r="M29" s="951">
        <v>10884</v>
      </c>
      <c r="N29" s="951">
        <f>5776+15113+4037</f>
        <v>24926</v>
      </c>
      <c r="O29" s="952">
        <f t="shared" si="2"/>
        <v>149440</v>
      </c>
    </row>
    <row r="30" spans="1:15" ht="12.75">
      <c r="A30" s="441" t="s">
        <v>119</v>
      </c>
      <c r="B30" s="953" t="s">
        <v>132</v>
      </c>
      <c r="C30" s="954">
        <v>615</v>
      </c>
      <c r="D30" s="954">
        <v>1743</v>
      </c>
      <c r="E30" s="954">
        <f>2013+2379</f>
        <v>4392</v>
      </c>
      <c r="F30" s="954">
        <f>1819+12859+154</f>
        <v>14832</v>
      </c>
      <c r="G30" s="954">
        <v>16804</v>
      </c>
      <c r="H30" s="954">
        <f>877+9230</f>
        <v>10107</v>
      </c>
      <c r="I30" s="954">
        <f>54+200</f>
        <v>254</v>
      </c>
      <c r="J30" s="954">
        <f>29229-1200</f>
        <v>28029</v>
      </c>
      <c r="K30" s="954">
        <v>9697</v>
      </c>
      <c r="L30" s="954">
        <v>4492</v>
      </c>
      <c r="M30" s="954">
        <v>4112</v>
      </c>
      <c r="N30" s="954">
        <f>26507-7727+8772</f>
        <v>27552</v>
      </c>
      <c r="O30" s="952">
        <f t="shared" si="2"/>
        <v>122629</v>
      </c>
    </row>
    <row r="31" spans="1:15" ht="12.75">
      <c r="A31" s="441" t="s">
        <v>121</v>
      </c>
      <c r="B31" s="971" t="s">
        <v>334</v>
      </c>
      <c r="C31" s="954">
        <v>516</v>
      </c>
      <c r="D31" s="954">
        <f>38577</f>
        <v>38577</v>
      </c>
      <c r="E31" s="954">
        <v>16343</v>
      </c>
      <c r="F31" s="954">
        <v>32187</v>
      </c>
      <c r="G31" s="954">
        <v>2659</v>
      </c>
      <c r="H31" s="954">
        <v>57833</v>
      </c>
      <c r="I31" s="954">
        <f>19544</f>
        <v>19544</v>
      </c>
      <c r="J31" s="954">
        <f>1200+63177</f>
        <v>64377</v>
      </c>
      <c r="K31" s="954">
        <f>30062</f>
        <v>30062</v>
      </c>
      <c r="L31" s="954">
        <f>34215</f>
        <v>34215</v>
      </c>
      <c r="M31" s="954">
        <f>30769</f>
        <v>30769</v>
      </c>
      <c r="N31" s="954">
        <f>7727+29684+7855</f>
        <v>45266</v>
      </c>
      <c r="O31" s="952">
        <f t="shared" si="2"/>
        <v>372348</v>
      </c>
    </row>
    <row r="32" spans="1:15" ht="12.75" customHeight="1" thickBot="1">
      <c r="A32" s="442" t="s">
        <v>122</v>
      </c>
      <c r="B32" s="953" t="s">
        <v>133</v>
      </c>
      <c r="C32" s="954"/>
      <c r="D32" s="954"/>
      <c r="E32" s="954"/>
      <c r="F32" s="954"/>
      <c r="G32" s="954" t="s">
        <v>314</v>
      </c>
      <c r="H32" s="954"/>
      <c r="I32" s="954"/>
      <c r="J32" s="954" t="s">
        <v>314</v>
      </c>
      <c r="K32" s="954" t="s">
        <v>314</v>
      </c>
      <c r="L32" s="954" t="s">
        <v>314</v>
      </c>
      <c r="M32" s="954" t="s">
        <v>314</v>
      </c>
      <c r="N32" s="954" t="s">
        <v>314</v>
      </c>
      <c r="O32" s="952">
        <f t="shared" si="2"/>
        <v>0</v>
      </c>
    </row>
    <row r="33" spans="1:15" ht="14.25" thickBot="1" thickTop="1">
      <c r="A33" s="1250" t="s">
        <v>108</v>
      </c>
      <c r="B33" s="1251"/>
      <c r="C33" s="972">
        <f aca="true" t="shared" si="3" ref="C33:O33">SUM(C25:C32)</f>
        <v>101786</v>
      </c>
      <c r="D33" s="972">
        <f t="shared" si="3"/>
        <v>126892</v>
      </c>
      <c r="E33" s="972">
        <f t="shared" si="3"/>
        <v>144957</v>
      </c>
      <c r="F33" s="972">
        <f t="shared" si="3"/>
        <v>143079</v>
      </c>
      <c r="G33" s="972">
        <f t="shared" si="3"/>
        <v>131080</v>
      </c>
      <c r="H33" s="972">
        <f t="shared" si="3"/>
        <v>183095</v>
      </c>
      <c r="I33" s="972">
        <f t="shared" si="3"/>
        <v>134348</v>
      </c>
      <c r="J33" s="972">
        <f t="shared" si="3"/>
        <v>193149</v>
      </c>
      <c r="K33" s="972">
        <f t="shared" si="3"/>
        <v>168899</v>
      </c>
      <c r="L33" s="972">
        <f t="shared" si="3"/>
        <v>136435</v>
      </c>
      <c r="M33" s="972">
        <f t="shared" si="3"/>
        <v>140235</v>
      </c>
      <c r="N33" s="972">
        <f t="shared" si="3"/>
        <v>234609</v>
      </c>
      <c r="O33" s="973">
        <f t="shared" si="3"/>
        <v>1838564</v>
      </c>
    </row>
    <row r="34" spans="1:15" ht="7.5" customHeight="1" thickTop="1">
      <c r="A34" s="439"/>
      <c r="B34" s="957"/>
      <c r="C34" s="957"/>
      <c r="D34" s="957"/>
      <c r="E34" s="957"/>
      <c r="F34" s="957"/>
      <c r="G34" s="957"/>
      <c r="H34" s="957"/>
      <c r="I34" s="957"/>
      <c r="J34" s="957"/>
      <c r="K34" s="957"/>
      <c r="L34" s="957"/>
      <c r="M34" s="957"/>
      <c r="N34" s="957"/>
      <c r="O34" s="957"/>
    </row>
    <row r="35" spans="2:15" s="445" customFormat="1" ht="15">
      <c r="B35" s="946"/>
      <c r="C35" s="947"/>
      <c r="D35" s="947"/>
      <c r="E35" s="947"/>
      <c r="F35" s="947"/>
      <c r="G35" s="947"/>
      <c r="H35" s="947"/>
      <c r="I35" s="947"/>
      <c r="J35" s="947"/>
      <c r="K35" s="947"/>
      <c r="L35" s="947"/>
      <c r="M35" s="947"/>
      <c r="N35" s="947"/>
      <c r="O35" s="947"/>
    </row>
    <row r="36" spans="2:15" s="445" customFormat="1" ht="15">
      <c r="B36" s="946"/>
      <c r="C36" s="947"/>
      <c r="D36" s="947"/>
      <c r="E36" s="947"/>
      <c r="F36" s="947"/>
      <c r="G36" s="947"/>
      <c r="H36" s="947"/>
      <c r="I36" s="947"/>
      <c r="J36" s="947"/>
      <c r="K36" s="947"/>
      <c r="L36" s="947"/>
      <c r="M36" s="947"/>
      <c r="N36" s="947"/>
      <c r="O36" s="946"/>
    </row>
  </sheetData>
  <sheetProtection/>
  <mergeCells count="4">
    <mergeCell ref="A6:O6"/>
    <mergeCell ref="A18:B18"/>
    <mergeCell ref="A22:O22"/>
    <mergeCell ref="A33:B3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130" zoomScaleSheetLayoutView="130" zoomScalePageLayoutView="0" workbookViewId="0" topLeftCell="A1">
      <selection activeCell="L18" sqref="L18"/>
    </sheetView>
  </sheetViews>
  <sheetFormatPr defaultColWidth="9.00390625" defaultRowHeight="12.75"/>
  <cols>
    <col min="1" max="1" width="5.75390625" style="28" bestFit="1" customWidth="1"/>
    <col min="2" max="2" width="51.75390625" style="28" customWidth="1"/>
    <col min="3" max="3" width="16.00390625" style="28" bestFit="1" customWidth="1"/>
    <col min="4" max="4" width="16.00390625" style="28" customWidth="1"/>
    <col min="5" max="5" width="38.25390625" style="40" bestFit="1" customWidth="1"/>
    <col min="6" max="16384" width="9.125" style="28" customWidth="1"/>
  </cols>
  <sheetData>
    <row r="1" spans="1:5" ht="11.25">
      <c r="A1" s="24"/>
      <c r="B1" s="25"/>
      <c r="C1" s="26"/>
      <c r="D1" s="26"/>
      <c r="E1" s="27"/>
    </row>
    <row r="2" spans="1:5" ht="11.25">
      <c r="A2" s="24"/>
      <c r="B2" s="25"/>
      <c r="C2" s="26"/>
      <c r="D2" s="26"/>
      <c r="E2" s="29"/>
    </row>
    <row r="3" spans="1:5" ht="11.25">
      <c r="A3" s="24"/>
      <c r="B3" s="24" t="s">
        <v>314</v>
      </c>
      <c r="C3" s="24"/>
      <c r="D3" s="24"/>
      <c r="E3" s="24"/>
    </row>
    <row r="4" spans="1:5" ht="11.25">
      <c r="A4" s="24"/>
      <c r="B4" s="24"/>
      <c r="C4" s="24"/>
      <c r="D4" s="24"/>
      <c r="E4" s="24"/>
    </row>
    <row r="5" spans="1:5" ht="11.25">
      <c r="A5" s="24"/>
      <c r="B5" s="25"/>
      <c r="C5" s="26"/>
      <c r="D5" s="26"/>
      <c r="E5" s="29"/>
    </row>
    <row r="6" spans="1:5" ht="11.25">
      <c r="A6" s="24"/>
      <c r="B6" s="25"/>
      <c r="C6" s="26"/>
      <c r="D6" s="26"/>
      <c r="E6" s="29"/>
    </row>
    <row r="7" spans="1:5" ht="11.25">
      <c r="A7" s="24"/>
      <c r="B7" s="25"/>
      <c r="C7" s="26"/>
      <c r="D7" s="26"/>
      <c r="E7" s="29"/>
    </row>
    <row r="8" spans="1:5" ht="12" thickBot="1">
      <c r="A8" s="24"/>
      <c r="B8" s="25"/>
      <c r="C8" s="26"/>
      <c r="D8" s="26"/>
      <c r="E8" s="30" t="s">
        <v>315</v>
      </c>
    </row>
    <row r="9" spans="1:5" ht="34.5" thickBot="1">
      <c r="A9" s="31" t="s">
        <v>316</v>
      </c>
      <c r="B9" s="32" t="s">
        <v>317</v>
      </c>
      <c r="C9" s="33" t="s">
        <v>524</v>
      </c>
      <c r="D9" s="33" t="s">
        <v>525</v>
      </c>
      <c r="E9" s="34" t="s">
        <v>318</v>
      </c>
    </row>
    <row r="10" spans="1:5" ht="27.75" customHeight="1">
      <c r="A10" s="35" t="s">
        <v>109</v>
      </c>
      <c r="B10" s="46" t="s">
        <v>322</v>
      </c>
      <c r="C10" s="47">
        <f>2000-1000</f>
        <v>1000</v>
      </c>
      <c r="D10" s="48">
        <v>1000</v>
      </c>
      <c r="E10" s="49" t="s">
        <v>323</v>
      </c>
    </row>
    <row r="11" spans="1:5" ht="36" customHeight="1">
      <c r="A11" s="36" t="s">
        <v>111</v>
      </c>
      <c r="B11" s="38" t="s">
        <v>526</v>
      </c>
      <c r="C11" s="47">
        <v>7000</v>
      </c>
      <c r="D11" s="48">
        <v>1797</v>
      </c>
      <c r="E11" s="50" t="s">
        <v>323</v>
      </c>
    </row>
    <row r="12" spans="1:5" ht="38.25" customHeight="1">
      <c r="A12" s="36" t="s">
        <v>113</v>
      </c>
      <c r="B12" s="38" t="s">
        <v>527</v>
      </c>
      <c r="C12" s="47">
        <v>3100</v>
      </c>
      <c r="D12" s="48">
        <v>8202</v>
      </c>
      <c r="E12" s="50" t="s">
        <v>323</v>
      </c>
    </row>
    <row r="13" spans="1:5" ht="28.5" customHeight="1">
      <c r="A13" s="36" t="s">
        <v>115</v>
      </c>
      <c r="B13" s="38" t="s">
        <v>324</v>
      </c>
      <c r="C13" s="47">
        <v>250</v>
      </c>
      <c r="D13" s="48">
        <v>91</v>
      </c>
      <c r="E13" s="50" t="s">
        <v>325</v>
      </c>
    </row>
    <row r="14" spans="1:5" ht="36" customHeight="1">
      <c r="A14" s="36" t="s">
        <v>117</v>
      </c>
      <c r="B14" s="38" t="s">
        <v>326</v>
      </c>
      <c r="C14" s="47">
        <v>1000</v>
      </c>
      <c r="D14" s="48">
        <v>9</v>
      </c>
      <c r="E14" s="50" t="s">
        <v>327</v>
      </c>
    </row>
    <row r="15" spans="1:5" ht="28.5" customHeight="1" thickBot="1">
      <c r="A15" s="37" t="s">
        <v>119</v>
      </c>
      <c r="B15" s="51" t="s">
        <v>328</v>
      </c>
      <c r="C15" s="47">
        <v>250</v>
      </c>
      <c r="D15" s="52">
        <v>75</v>
      </c>
      <c r="E15" s="53" t="s">
        <v>432</v>
      </c>
    </row>
    <row r="16" spans="1:5" ht="12" thickBot="1">
      <c r="A16" s="39"/>
      <c r="B16" s="54" t="s">
        <v>329</v>
      </c>
      <c r="C16" s="55">
        <f>SUM(C10:C15)</f>
        <v>12600</v>
      </c>
      <c r="D16" s="56">
        <f>SUM(D10:D15)</f>
        <v>11174</v>
      </c>
      <c r="E16" s="5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K33"/>
  <sheetViews>
    <sheetView view="pageBreakPreview" zoomScale="160" zoomScaleSheetLayoutView="160" zoomScalePageLayoutView="0" workbookViewId="0" topLeftCell="D22">
      <selection activeCell="L18" sqref="L18"/>
    </sheetView>
  </sheetViews>
  <sheetFormatPr defaultColWidth="9.00390625" defaultRowHeight="12" customHeight="1"/>
  <cols>
    <col min="1" max="1" width="5.00390625" style="456" customWidth="1"/>
    <col min="2" max="2" width="3.875" style="456" customWidth="1"/>
    <col min="3" max="3" width="55.00390625" style="456" customWidth="1"/>
    <col min="4" max="10" width="10.75390625" style="456" customWidth="1"/>
    <col min="11" max="16384" width="9.125" style="456" customWidth="1"/>
  </cols>
  <sheetData>
    <row r="3" ht="12" customHeight="1">
      <c r="J3" s="457" t="s">
        <v>308</v>
      </c>
    </row>
    <row r="4" ht="6.75" customHeight="1"/>
    <row r="5" ht="7.5" customHeight="1" thickBot="1"/>
    <row r="6" spans="2:10" ht="12" customHeight="1">
      <c r="B6" s="1348"/>
      <c r="C6" s="1341" t="s">
        <v>743</v>
      </c>
      <c r="D6" s="1356" t="s">
        <v>616</v>
      </c>
      <c r="E6" s="1345" t="s">
        <v>744</v>
      </c>
      <c r="F6" s="1346"/>
      <c r="G6" s="1346"/>
      <c r="H6" s="1346"/>
      <c r="I6" s="1347"/>
      <c r="J6" s="1352" t="s">
        <v>108</v>
      </c>
    </row>
    <row r="7" spans="2:10" ht="23.25" customHeight="1">
      <c r="B7" s="1349"/>
      <c r="C7" s="1342"/>
      <c r="D7" s="1357"/>
      <c r="E7" s="458" t="s">
        <v>745</v>
      </c>
      <c r="F7" s="458" t="s">
        <v>746</v>
      </c>
      <c r="G7" s="458" t="s">
        <v>747</v>
      </c>
      <c r="H7" s="458" t="s">
        <v>703</v>
      </c>
      <c r="I7" s="458" t="s">
        <v>617</v>
      </c>
      <c r="J7" s="1353"/>
    </row>
    <row r="8" spans="2:10" ht="12">
      <c r="B8" s="459">
        <v>1</v>
      </c>
      <c r="C8" s="463" t="s">
        <v>671</v>
      </c>
      <c r="D8" s="461">
        <v>2750</v>
      </c>
      <c r="E8" s="461">
        <v>6600</v>
      </c>
      <c r="F8" s="461">
        <v>6600</v>
      </c>
      <c r="G8" s="461">
        <v>6600</v>
      </c>
      <c r="H8" s="461">
        <v>6600</v>
      </c>
      <c r="I8" s="461">
        <v>3300</v>
      </c>
      <c r="J8" s="462">
        <f aca="true" t="shared" si="0" ref="J8:J14">SUM(D8:I8)</f>
        <v>32450</v>
      </c>
    </row>
    <row r="9" spans="2:10" ht="12">
      <c r="B9" s="459">
        <v>2</v>
      </c>
      <c r="C9" s="464" t="s">
        <v>342</v>
      </c>
      <c r="D9" s="465">
        <v>978</v>
      </c>
      <c r="E9" s="465">
        <v>978</v>
      </c>
      <c r="F9" s="461">
        <v>978</v>
      </c>
      <c r="G9" s="461">
        <v>978</v>
      </c>
      <c r="H9" s="461">
        <v>978</v>
      </c>
      <c r="I9" s="461">
        <v>978</v>
      </c>
      <c r="J9" s="462">
        <f t="shared" si="0"/>
        <v>5868</v>
      </c>
    </row>
    <row r="10" spans="2:10" ht="12">
      <c r="B10" s="459">
        <v>3</v>
      </c>
      <c r="C10" s="467" t="s">
        <v>748</v>
      </c>
      <c r="D10" s="465">
        <v>9541</v>
      </c>
      <c r="E10" s="465">
        <v>240626</v>
      </c>
      <c r="F10" s="461">
        <v>0</v>
      </c>
      <c r="G10" s="461">
        <v>0</v>
      </c>
      <c r="H10" s="461">
        <v>0</v>
      </c>
      <c r="I10" s="461">
        <v>0</v>
      </c>
      <c r="J10" s="462">
        <f t="shared" si="0"/>
        <v>250167</v>
      </c>
    </row>
    <row r="11" spans="2:10" ht="12">
      <c r="B11" s="459">
        <v>4</v>
      </c>
      <c r="C11" s="467" t="s">
        <v>749</v>
      </c>
      <c r="D11" s="465">
        <f>5!F286</f>
        <v>35129</v>
      </c>
      <c r="E11" s="465">
        <v>63539</v>
      </c>
      <c r="F11" s="461">
        <v>64874</v>
      </c>
      <c r="G11" s="461">
        <v>66560</v>
      </c>
      <c r="H11" s="461">
        <v>68424</v>
      </c>
      <c r="I11" s="461">
        <v>70477</v>
      </c>
      <c r="J11" s="462">
        <f t="shared" si="0"/>
        <v>369003</v>
      </c>
    </row>
    <row r="12" spans="2:10" ht="12">
      <c r="B12" s="459">
        <v>5</v>
      </c>
      <c r="C12" s="467" t="s">
        <v>750</v>
      </c>
      <c r="D12" s="465">
        <f>5!F290</f>
        <v>23159</v>
      </c>
      <c r="E12" s="465">
        <v>27134</v>
      </c>
      <c r="F12" s="461">
        <v>27704</v>
      </c>
      <c r="G12" s="461">
        <v>28424</v>
      </c>
      <c r="H12" s="461">
        <v>29220</v>
      </c>
      <c r="I12" s="461">
        <v>30097</v>
      </c>
      <c r="J12" s="895">
        <f t="shared" si="0"/>
        <v>165738</v>
      </c>
    </row>
    <row r="13" spans="2:10" ht="12">
      <c r="B13" s="459">
        <v>6</v>
      </c>
      <c r="C13" s="467" t="s">
        <v>660</v>
      </c>
      <c r="D13" s="465">
        <v>488</v>
      </c>
      <c r="E13" s="465">
        <v>46</v>
      </c>
      <c r="F13" s="461">
        <v>0</v>
      </c>
      <c r="G13" s="461">
        <v>0</v>
      </c>
      <c r="H13" s="461">
        <v>0</v>
      </c>
      <c r="I13" s="461"/>
      <c r="J13" s="895">
        <f t="shared" si="0"/>
        <v>534</v>
      </c>
    </row>
    <row r="14" spans="2:10" ht="12">
      <c r="B14" s="459">
        <v>7</v>
      </c>
      <c r="C14" s="833" t="s">
        <v>706</v>
      </c>
      <c r="D14" s="465">
        <v>23091</v>
      </c>
      <c r="E14" s="465">
        <v>24806</v>
      </c>
      <c r="F14" s="465">
        <v>21029</v>
      </c>
      <c r="G14" s="465">
        <v>29118</v>
      </c>
      <c r="H14" s="465">
        <v>58622</v>
      </c>
      <c r="I14" s="465">
        <v>86369</v>
      </c>
      <c r="J14" s="896">
        <f t="shared" si="0"/>
        <v>243035</v>
      </c>
    </row>
    <row r="15" spans="2:10" s="469" customFormat="1" ht="12.75" thickBot="1">
      <c r="B15" s="473"/>
      <c r="C15" s="834" t="s">
        <v>751</v>
      </c>
      <c r="D15" s="468">
        <f>SUM(D8:D14)</f>
        <v>95136</v>
      </c>
      <c r="E15" s="468">
        <f aca="true" t="shared" si="1" ref="E15:J15">SUM(E8:E14)</f>
        <v>363729</v>
      </c>
      <c r="F15" s="468">
        <f t="shared" si="1"/>
        <v>121185</v>
      </c>
      <c r="G15" s="468">
        <f t="shared" si="1"/>
        <v>131680</v>
      </c>
      <c r="H15" s="468">
        <f t="shared" si="1"/>
        <v>163844</v>
      </c>
      <c r="I15" s="468">
        <f t="shared" si="1"/>
        <v>191221</v>
      </c>
      <c r="J15" s="897">
        <f t="shared" si="1"/>
        <v>1066795</v>
      </c>
    </row>
    <row r="16" spans="3:10" s="469" customFormat="1" ht="12.75" customHeight="1" thickBot="1">
      <c r="C16" s="470"/>
      <c r="D16" s="471"/>
      <c r="E16" s="471"/>
      <c r="F16" s="471"/>
      <c r="G16" s="471"/>
      <c r="H16" s="471"/>
      <c r="I16" s="471"/>
      <c r="J16" s="471"/>
    </row>
    <row r="17" spans="2:10" ht="12" customHeight="1">
      <c r="B17" s="1350"/>
      <c r="C17" s="1339" t="s">
        <v>752</v>
      </c>
      <c r="D17" s="1358" t="s">
        <v>618</v>
      </c>
      <c r="E17" s="1343" t="s">
        <v>744</v>
      </c>
      <c r="F17" s="1343"/>
      <c r="G17" s="1343"/>
      <c r="H17" s="1343"/>
      <c r="I17" s="1344"/>
      <c r="J17" s="1354" t="s">
        <v>108</v>
      </c>
    </row>
    <row r="18" spans="2:10" ht="18.75" customHeight="1">
      <c r="B18" s="1351"/>
      <c r="C18" s="1340"/>
      <c r="D18" s="1359"/>
      <c r="E18" s="458" t="s">
        <v>745</v>
      </c>
      <c r="F18" s="458" t="s">
        <v>746</v>
      </c>
      <c r="G18" s="458" t="s">
        <v>747</v>
      </c>
      <c r="H18" s="458" t="s">
        <v>703</v>
      </c>
      <c r="I18" s="458" t="s">
        <v>617</v>
      </c>
      <c r="J18" s="1355"/>
    </row>
    <row r="19" spans="2:10" ht="12">
      <c r="B19" s="459" t="s">
        <v>109</v>
      </c>
      <c r="C19" s="463" t="s">
        <v>753</v>
      </c>
      <c r="D19" s="461">
        <v>349</v>
      </c>
      <c r="E19" s="461">
        <v>524</v>
      </c>
      <c r="F19" s="461">
        <v>524</v>
      </c>
      <c r="G19" s="461">
        <v>523</v>
      </c>
      <c r="H19" s="461">
        <v>394</v>
      </c>
      <c r="I19" s="461">
        <v>350</v>
      </c>
      <c r="J19" s="462">
        <f>SUM(D19:I19)</f>
        <v>2664</v>
      </c>
    </row>
    <row r="20" spans="2:10" ht="12">
      <c r="B20" s="459" t="s">
        <v>111</v>
      </c>
      <c r="C20" s="463" t="s">
        <v>754</v>
      </c>
      <c r="D20" s="461">
        <v>150</v>
      </c>
      <c r="E20" s="461">
        <v>138</v>
      </c>
      <c r="F20" s="461">
        <v>117</v>
      </c>
      <c r="G20" s="461">
        <v>30</v>
      </c>
      <c r="H20" s="461">
        <v>0</v>
      </c>
      <c r="I20" s="461">
        <v>0</v>
      </c>
      <c r="J20" s="462">
        <f>SUM(D20:I20)</f>
        <v>435</v>
      </c>
    </row>
    <row r="21" spans="2:10" ht="12">
      <c r="B21" s="472" t="s">
        <v>113</v>
      </c>
      <c r="C21" s="460" t="s">
        <v>755</v>
      </c>
      <c r="D21" s="465">
        <v>3719</v>
      </c>
      <c r="E21" s="461">
        <v>3134</v>
      </c>
      <c r="F21" s="461">
        <v>1973</v>
      </c>
      <c r="G21" s="461">
        <v>1825</v>
      </c>
      <c r="H21" s="461">
        <v>1586</v>
      </c>
      <c r="I21" s="461">
        <v>1300</v>
      </c>
      <c r="J21" s="462">
        <f>SUM(D21:I21)</f>
        <v>13537</v>
      </c>
    </row>
    <row r="22" spans="2:10" ht="12">
      <c r="B22" s="472" t="s">
        <v>115</v>
      </c>
      <c r="C22" s="466" t="s">
        <v>704</v>
      </c>
      <c r="D22" s="465">
        <v>8937</v>
      </c>
      <c r="E22" s="465">
        <v>8938</v>
      </c>
      <c r="F22" s="465"/>
      <c r="G22" s="465"/>
      <c r="H22" s="465"/>
      <c r="I22" s="465"/>
      <c r="J22" s="462">
        <f>SUM(D22:I22)</f>
        <v>17875</v>
      </c>
    </row>
    <row r="23" spans="2:10" ht="12">
      <c r="B23" s="472" t="s">
        <v>117</v>
      </c>
      <c r="C23" s="466" t="s">
        <v>705</v>
      </c>
      <c r="D23" s="465">
        <f>3!D65</f>
        <v>63718</v>
      </c>
      <c r="E23" s="465">
        <v>19500</v>
      </c>
      <c r="F23" s="465">
        <v>18000</v>
      </c>
      <c r="G23" s="465">
        <v>16500</v>
      </c>
      <c r="H23" s="465">
        <v>15000</v>
      </c>
      <c r="I23" s="465">
        <v>15000</v>
      </c>
      <c r="J23" s="462">
        <f>SUM(D23:I23)</f>
        <v>147718</v>
      </c>
    </row>
    <row r="24" spans="2:10" s="469" customFormat="1" ht="30" customHeight="1" thickBot="1">
      <c r="B24" s="473"/>
      <c r="C24" s="474" t="s">
        <v>751</v>
      </c>
      <c r="D24" s="468">
        <f>SUM(D19:D23)</f>
        <v>76873</v>
      </c>
      <c r="E24" s="468">
        <f aca="true" t="shared" si="2" ref="E24:J24">SUM(E19:E23)</f>
        <v>32234</v>
      </c>
      <c r="F24" s="468">
        <f t="shared" si="2"/>
        <v>20614</v>
      </c>
      <c r="G24" s="468">
        <f t="shared" si="2"/>
        <v>18878</v>
      </c>
      <c r="H24" s="468">
        <f t="shared" si="2"/>
        <v>16980</v>
      </c>
      <c r="I24" s="468">
        <f t="shared" si="2"/>
        <v>16650</v>
      </c>
      <c r="J24" s="897">
        <f t="shared" si="2"/>
        <v>182229</v>
      </c>
    </row>
    <row r="25" ht="12" customHeight="1">
      <c r="J25" s="475"/>
    </row>
    <row r="26" ht="12" customHeight="1">
      <c r="B26" s="476" t="s">
        <v>756</v>
      </c>
    </row>
    <row r="27" spans="2:11" ht="21.75" customHeight="1">
      <c r="B27" s="477">
        <v>1</v>
      </c>
      <c r="C27" s="1338" t="s">
        <v>757</v>
      </c>
      <c r="D27" s="1338"/>
      <c r="E27" s="1338"/>
      <c r="F27" s="1338"/>
      <c r="G27" s="1338"/>
      <c r="H27" s="1338"/>
      <c r="I27" s="832"/>
      <c r="J27" s="478"/>
      <c r="K27" s="479"/>
    </row>
    <row r="28" spans="2:9" ht="18.75" customHeight="1">
      <c r="B28" s="477">
        <v>2</v>
      </c>
      <c r="C28" s="1338" t="s">
        <v>619</v>
      </c>
      <c r="D28" s="1338"/>
      <c r="E28" s="1338"/>
      <c r="F28" s="1338"/>
      <c r="G28" s="1338"/>
      <c r="H28" s="1338"/>
      <c r="I28" s="832"/>
    </row>
    <row r="29" spans="2:9" ht="12" customHeight="1">
      <c r="B29" s="477">
        <v>3</v>
      </c>
      <c r="C29" s="1338" t="s">
        <v>620</v>
      </c>
      <c r="D29" s="1338"/>
      <c r="E29" s="1338"/>
      <c r="F29" s="1338"/>
      <c r="G29" s="1338"/>
      <c r="H29" s="1338"/>
      <c r="I29" s="881" t="s">
        <v>314</v>
      </c>
    </row>
    <row r="30" spans="2:9" ht="12" customHeight="1">
      <c r="B30" s="480">
        <v>4</v>
      </c>
      <c r="C30" s="481" t="s">
        <v>758</v>
      </c>
      <c r="D30" s="481"/>
      <c r="E30" s="481"/>
      <c r="F30" s="481"/>
      <c r="G30" s="481"/>
      <c r="H30" s="481"/>
      <c r="I30" s="481"/>
    </row>
    <row r="31" spans="2:9" ht="12" customHeight="1">
      <c r="B31" s="477">
        <v>5</v>
      </c>
      <c r="C31" s="481" t="s">
        <v>759</v>
      </c>
      <c r="D31" s="481"/>
      <c r="E31" s="481"/>
      <c r="F31" s="481"/>
      <c r="G31" s="481"/>
      <c r="H31" s="481"/>
      <c r="I31" s="481"/>
    </row>
    <row r="32" spans="2:9" ht="12" customHeight="1">
      <c r="B32" s="482">
        <v>6</v>
      </c>
      <c r="C32" s="455" t="s">
        <v>760</v>
      </c>
      <c r="D32" s="455"/>
      <c r="E32" s="455"/>
      <c r="F32" s="455"/>
      <c r="G32" s="455"/>
      <c r="H32" s="455"/>
      <c r="I32" s="455"/>
    </row>
    <row r="33" spans="2:9" ht="12" customHeight="1">
      <c r="B33" s="482">
        <v>7</v>
      </c>
      <c r="C33" s="455" t="s">
        <v>761</v>
      </c>
      <c r="D33" s="455"/>
      <c r="E33" s="455"/>
      <c r="F33" s="455"/>
      <c r="G33" s="455"/>
      <c r="H33" s="455"/>
      <c r="I33" s="455"/>
    </row>
  </sheetData>
  <sheetProtection/>
  <mergeCells count="13">
    <mergeCell ref="B6:B7"/>
    <mergeCell ref="B17:B18"/>
    <mergeCell ref="J6:J7"/>
    <mergeCell ref="J17:J18"/>
    <mergeCell ref="D6:D7"/>
    <mergeCell ref="D17:D18"/>
    <mergeCell ref="C28:H28"/>
    <mergeCell ref="C29:H29"/>
    <mergeCell ref="C17:C18"/>
    <mergeCell ref="C6:C7"/>
    <mergeCell ref="C27:H27"/>
    <mergeCell ref="E17:I17"/>
    <mergeCell ref="E6:I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91"/>
  <sheetViews>
    <sheetView view="pageBreakPreview" zoomScale="115" zoomScaleSheetLayoutView="115" zoomScalePageLayoutView="0" workbookViewId="0" topLeftCell="A73">
      <selection activeCell="K85" sqref="K85"/>
    </sheetView>
  </sheetViews>
  <sheetFormatPr defaultColWidth="9.00390625" defaultRowHeight="12.75"/>
  <cols>
    <col min="1" max="1" width="7.875" style="1213" customWidth="1"/>
    <col min="2" max="2" width="50.375" style="1213" customWidth="1"/>
    <col min="3" max="3" width="0.12890625" style="1213" customWidth="1"/>
    <col min="4" max="5" width="9.125" style="1213" hidden="1" customWidth="1"/>
    <col min="6" max="6" width="4.125" style="1213" hidden="1" customWidth="1"/>
    <col min="7" max="8" width="9.75390625" style="1213" customWidth="1"/>
    <col min="9" max="9" width="9.125" style="1213" customWidth="1"/>
    <col min="10" max="16384" width="9.125" style="483" customWidth="1"/>
  </cols>
  <sheetData>
    <row r="3" ht="28.5" customHeight="1"/>
    <row r="4" spans="1:3" ht="12.75">
      <c r="A4" s="1374" t="s">
        <v>447</v>
      </c>
      <c r="B4" s="1375"/>
      <c r="C4" s="1375"/>
    </row>
    <row r="5" spans="1:9" ht="15" customHeight="1" thickBot="1">
      <c r="A5" s="1212"/>
      <c r="B5" s="1360" t="s">
        <v>437</v>
      </c>
      <c r="C5" s="1361"/>
      <c r="D5" s="1361"/>
      <c r="E5" s="1361"/>
      <c r="F5" s="1361"/>
      <c r="G5" s="1361"/>
      <c r="H5" s="1361"/>
      <c r="I5" s="1214" t="s">
        <v>762</v>
      </c>
    </row>
    <row r="6" spans="1:9" ht="27" customHeight="1">
      <c r="A6" s="1364" t="s">
        <v>763</v>
      </c>
      <c r="B6" s="1365"/>
      <c r="C6" s="1365"/>
      <c r="D6" s="1365"/>
      <c r="E6" s="1365"/>
      <c r="F6" s="1366"/>
      <c r="G6" s="1215" t="s">
        <v>469</v>
      </c>
      <c r="H6" s="1215" t="s">
        <v>470</v>
      </c>
      <c r="I6" s="1216" t="s">
        <v>471</v>
      </c>
    </row>
    <row r="7" spans="1:9" ht="12.75">
      <c r="A7" s="1217">
        <v>1</v>
      </c>
      <c r="B7" s="1367" t="s">
        <v>764</v>
      </c>
      <c r="C7" s="1367"/>
      <c r="D7" s="1367"/>
      <c r="E7" s="1367"/>
      <c r="F7" s="1367"/>
      <c r="G7" s="1218">
        <v>0</v>
      </c>
      <c r="H7" s="1218">
        <f>14878-6312</f>
        <v>8566</v>
      </c>
      <c r="I7" s="1219">
        <f>I12-I9</f>
        <v>8565</v>
      </c>
    </row>
    <row r="8" spans="1:9" ht="12.75">
      <c r="A8" s="1217">
        <v>2</v>
      </c>
      <c r="B8" s="1367" t="s">
        <v>765</v>
      </c>
      <c r="C8" s="1367"/>
      <c r="D8" s="1367"/>
      <c r="E8" s="1367"/>
      <c r="F8" s="1367"/>
      <c r="G8" s="1218"/>
      <c r="H8" s="1218"/>
      <c r="I8" s="1219" t="s">
        <v>314</v>
      </c>
    </row>
    <row r="9" spans="1:9" ht="13.5" thickBot="1">
      <c r="A9" s="1220">
        <v>3</v>
      </c>
      <c r="B9" s="1368" t="s">
        <v>766</v>
      </c>
      <c r="C9" s="1368"/>
      <c r="D9" s="1368"/>
      <c r="E9" s="1368"/>
      <c r="F9" s="1368"/>
      <c r="G9" s="1221">
        <v>0</v>
      </c>
      <c r="H9" s="1221">
        <f>3!D257</f>
        <v>6312</v>
      </c>
      <c r="I9" s="1222">
        <f>3!D258</f>
        <v>6312</v>
      </c>
    </row>
    <row r="10" spans="1:9" ht="14.25" thickBot="1" thickTop="1">
      <c r="A10" s="1369" t="s">
        <v>767</v>
      </c>
      <c r="B10" s="1370"/>
      <c r="C10" s="1370"/>
      <c r="D10" s="1370"/>
      <c r="E10" s="1370"/>
      <c r="F10" s="1371"/>
      <c r="G10" s="1223"/>
      <c r="H10" s="1223">
        <f>SUM(H7:H9)</f>
        <v>14878</v>
      </c>
      <c r="I10" s="1224">
        <f>SUM(I7:I9)</f>
        <v>14877</v>
      </c>
    </row>
    <row r="11" ht="6" customHeight="1" thickBot="1">
      <c r="I11" s="1213" t="s">
        <v>314</v>
      </c>
    </row>
    <row r="12" spans="1:9" ht="14.25" thickBot="1" thickTop="1">
      <c r="A12" s="1369" t="s">
        <v>768</v>
      </c>
      <c r="B12" s="1370"/>
      <c r="C12" s="1370"/>
      <c r="D12" s="1370"/>
      <c r="E12" s="1370"/>
      <c r="F12" s="1371"/>
      <c r="G12" s="1223">
        <f>SUM(G7:G9)</f>
        <v>0</v>
      </c>
      <c r="H12" s="1223">
        <f>5!J145</f>
        <v>14878</v>
      </c>
      <c r="I12" s="1224">
        <f>5!J146</f>
        <v>14877</v>
      </c>
    </row>
    <row r="13" spans="7:9" ht="9.75" customHeight="1">
      <c r="G13" s="1225"/>
      <c r="H13" s="1225"/>
      <c r="I13" s="1225"/>
    </row>
    <row r="14" spans="1:9" ht="12.75">
      <c r="A14" s="1226" t="s">
        <v>438</v>
      </c>
      <c r="G14" s="1225"/>
      <c r="H14" s="1225"/>
      <c r="I14" s="1225"/>
    </row>
    <row r="15" spans="1:9" ht="13.5" thickBot="1">
      <c r="A15" s="1226"/>
      <c r="B15" s="1372" t="s">
        <v>439</v>
      </c>
      <c r="C15" s="1373"/>
      <c r="D15" s="1373"/>
      <c r="E15" s="1373"/>
      <c r="F15" s="1373"/>
      <c r="G15" s="1373"/>
      <c r="H15" s="1373"/>
      <c r="I15" s="1227" t="s">
        <v>762</v>
      </c>
    </row>
    <row r="16" spans="1:9" ht="27.75" customHeight="1">
      <c r="A16" s="1364" t="s">
        <v>763</v>
      </c>
      <c r="B16" s="1365"/>
      <c r="C16" s="1365"/>
      <c r="D16" s="1365"/>
      <c r="E16" s="1365"/>
      <c r="F16" s="1366"/>
      <c r="G16" s="1228" t="s">
        <v>469</v>
      </c>
      <c r="H16" s="1228" t="s">
        <v>470</v>
      </c>
      <c r="I16" s="1229" t="s">
        <v>471</v>
      </c>
    </row>
    <row r="17" spans="1:9" ht="12.75">
      <c r="A17" s="1217">
        <v>1</v>
      </c>
      <c r="B17" s="1367" t="s">
        <v>764</v>
      </c>
      <c r="C17" s="1367"/>
      <c r="D17" s="1367"/>
      <c r="E17" s="1367"/>
      <c r="F17" s="1367"/>
      <c r="G17" s="1230"/>
      <c r="H17" s="1231">
        <v>1300</v>
      </c>
      <c r="I17" s="1219">
        <v>1620</v>
      </c>
    </row>
    <row r="18" spans="1:9" ht="12.75">
      <c r="A18" s="1217">
        <v>2</v>
      </c>
      <c r="B18" s="1367" t="s">
        <v>765</v>
      </c>
      <c r="C18" s="1367"/>
      <c r="D18" s="1367"/>
      <c r="E18" s="1367"/>
      <c r="F18" s="1367"/>
      <c r="G18" s="1232"/>
      <c r="H18" s="1231"/>
      <c r="I18" s="1219" t="s">
        <v>314</v>
      </c>
    </row>
    <row r="19" spans="1:9" ht="13.5" thickBot="1">
      <c r="A19" s="1220">
        <v>3</v>
      </c>
      <c r="B19" s="1368" t="s">
        <v>766</v>
      </c>
      <c r="C19" s="1368"/>
      <c r="D19" s="1368"/>
      <c r="E19" s="1368"/>
      <c r="F19" s="1368"/>
      <c r="G19" s="1233"/>
      <c r="H19" s="1234">
        <v>11974</v>
      </c>
      <c r="I19" s="1222">
        <v>0</v>
      </c>
    </row>
    <row r="20" spans="1:9" ht="14.25" thickBot="1" thickTop="1">
      <c r="A20" s="1369" t="s">
        <v>767</v>
      </c>
      <c r="B20" s="1370"/>
      <c r="C20" s="1370"/>
      <c r="D20" s="1370"/>
      <c r="E20" s="1370"/>
      <c r="F20" s="1371"/>
      <c r="G20" s="1223">
        <f>SUM(G17:G19)</f>
        <v>0</v>
      </c>
      <c r="H20" s="1223">
        <f>SUM(H17:H19)</f>
        <v>13274</v>
      </c>
      <c r="I20" s="1224">
        <f>SUM(I17:I19)</f>
        <v>1620</v>
      </c>
    </row>
    <row r="21" ht="5.25" customHeight="1" thickBot="1"/>
    <row r="22" spans="1:9" ht="14.25" thickBot="1" thickTop="1">
      <c r="A22" s="1369" t="s">
        <v>768</v>
      </c>
      <c r="B22" s="1370"/>
      <c r="C22" s="1370"/>
      <c r="D22" s="1370"/>
      <c r="E22" s="1370"/>
      <c r="F22" s="1371"/>
      <c r="G22" s="1223"/>
      <c r="H22" s="1223">
        <f>6!E24</f>
        <v>13274</v>
      </c>
      <c r="I22" s="1224">
        <f>6!F24</f>
        <v>1620</v>
      </c>
    </row>
    <row r="23" ht="10.5" customHeight="1"/>
    <row r="24" spans="1:3" ht="12.75">
      <c r="A24" s="1374" t="s">
        <v>448</v>
      </c>
      <c r="B24" s="1375"/>
      <c r="C24" s="1375"/>
    </row>
    <row r="25" spans="1:9" ht="15.75" customHeight="1" thickBot="1">
      <c r="A25" s="1211"/>
      <c r="B25" s="1372" t="s">
        <v>440</v>
      </c>
      <c r="C25" s="1373"/>
      <c r="D25" s="1373"/>
      <c r="E25" s="1373"/>
      <c r="F25" s="1373"/>
      <c r="G25" s="1373"/>
      <c r="H25" s="1373"/>
      <c r="I25" s="1214" t="s">
        <v>762</v>
      </c>
    </row>
    <row r="26" spans="1:9" ht="24" customHeight="1">
      <c r="A26" s="1364" t="s">
        <v>763</v>
      </c>
      <c r="B26" s="1365"/>
      <c r="C26" s="1365"/>
      <c r="D26" s="1365"/>
      <c r="E26" s="1365"/>
      <c r="F26" s="1366"/>
      <c r="G26" s="1215" t="s">
        <v>469</v>
      </c>
      <c r="H26" s="1215" t="s">
        <v>470</v>
      </c>
      <c r="I26" s="1216" t="s">
        <v>471</v>
      </c>
    </row>
    <row r="27" spans="1:9" ht="12.75">
      <c r="A27" s="1217">
        <v>1</v>
      </c>
      <c r="B27" s="1367" t="s">
        <v>764</v>
      </c>
      <c r="C27" s="1367"/>
      <c r="D27" s="1367"/>
      <c r="E27" s="1367"/>
      <c r="F27" s="1367"/>
      <c r="G27" s="1218"/>
      <c r="H27" s="1235">
        <v>50000</v>
      </c>
      <c r="I27" s="1236">
        <v>0</v>
      </c>
    </row>
    <row r="28" spans="1:9" ht="12.75">
      <c r="A28" s="1217">
        <v>2</v>
      </c>
      <c r="B28" s="1367" t="s">
        <v>765</v>
      </c>
      <c r="C28" s="1367"/>
      <c r="D28" s="1367"/>
      <c r="E28" s="1367"/>
      <c r="F28" s="1367"/>
      <c r="G28" s="1218"/>
      <c r="H28" s="1218">
        <v>0</v>
      </c>
      <c r="I28" s="1219"/>
    </row>
    <row r="29" spans="1:9" ht="13.5" thickBot="1">
      <c r="A29" s="1220">
        <v>3</v>
      </c>
      <c r="B29" s="1368" t="s">
        <v>766</v>
      </c>
      <c r="C29" s="1368"/>
      <c r="D29" s="1368"/>
      <c r="E29" s="1368"/>
      <c r="F29" s="1368"/>
      <c r="G29" s="1221"/>
      <c r="H29" s="1221">
        <v>450000</v>
      </c>
      <c r="I29" s="1222">
        <v>0</v>
      </c>
    </row>
    <row r="30" spans="1:9" ht="14.25" thickBot="1" thickTop="1">
      <c r="A30" s="1369" t="s">
        <v>767</v>
      </c>
      <c r="B30" s="1370"/>
      <c r="C30" s="1370"/>
      <c r="D30" s="1370"/>
      <c r="E30" s="1370"/>
      <c r="F30" s="1371"/>
      <c r="G30" s="1223">
        <f>SUM(G27:G29)</f>
        <v>0</v>
      </c>
      <c r="H30" s="1223">
        <f>SUM(H27:H29)</f>
        <v>500000</v>
      </c>
      <c r="I30" s="1224">
        <f>SUM(I27:I29)</f>
        <v>0</v>
      </c>
    </row>
    <row r="31" spans="1:9" ht="6.75" customHeight="1" thickBot="1">
      <c r="A31" s="1237"/>
      <c r="B31" s="1237"/>
      <c r="C31" s="1237"/>
      <c r="D31" s="1237"/>
      <c r="E31" s="1237"/>
      <c r="F31" s="1237"/>
      <c r="G31" s="1238"/>
      <c r="H31" s="1238"/>
      <c r="I31" s="1238"/>
    </row>
    <row r="32" spans="1:9" ht="14.25" thickBot="1" thickTop="1">
      <c r="A32" s="1369" t="s">
        <v>768</v>
      </c>
      <c r="B32" s="1370"/>
      <c r="C32" s="1370"/>
      <c r="D32" s="1370"/>
      <c r="E32" s="1370"/>
      <c r="F32" s="1371"/>
      <c r="G32" s="1223"/>
      <c r="H32" s="1223">
        <v>500000</v>
      </c>
      <c r="I32" s="1224">
        <v>0</v>
      </c>
    </row>
    <row r="33" ht="9" customHeight="1"/>
    <row r="34" spans="1:3" ht="12.75">
      <c r="A34" s="1374" t="s">
        <v>449</v>
      </c>
      <c r="B34" s="1375"/>
      <c r="C34" s="1375"/>
    </row>
    <row r="35" spans="1:9" ht="13.5" thickBot="1">
      <c r="A35" s="1211"/>
      <c r="B35" s="1362" t="s">
        <v>441</v>
      </c>
      <c r="C35" s="1363"/>
      <c r="D35" s="1363"/>
      <c r="E35" s="1363"/>
      <c r="F35" s="1363"/>
      <c r="G35" s="1363"/>
      <c r="H35" s="1363"/>
      <c r="I35" s="1214" t="s">
        <v>762</v>
      </c>
    </row>
    <row r="36" spans="1:9" ht="26.25" customHeight="1">
      <c r="A36" s="1364" t="s">
        <v>763</v>
      </c>
      <c r="B36" s="1365"/>
      <c r="C36" s="1365"/>
      <c r="D36" s="1365"/>
      <c r="E36" s="1365"/>
      <c r="F36" s="1366"/>
      <c r="G36" s="1215" t="s">
        <v>469</v>
      </c>
      <c r="H36" s="1215" t="s">
        <v>470</v>
      </c>
      <c r="I36" s="1216" t="s">
        <v>471</v>
      </c>
    </row>
    <row r="37" spans="1:9" ht="12.75">
      <c r="A37" s="1217">
        <v>1</v>
      </c>
      <c r="B37" s="1367" t="s">
        <v>764</v>
      </c>
      <c r="C37" s="1367"/>
      <c r="D37" s="1367"/>
      <c r="E37" s="1367"/>
      <c r="F37" s="1367"/>
      <c r="G37" s="1218"/>
      <c r="H37" s="1235">
        <f>H42-H39</f>
        <v>3631</v>
      </c>
      <c r="I37" s="1236">
        <v>541</v>
      </c>
    </row>
    <row r="38" spans="1:9" ht="12.75">
      <c r="A38" s="1217">
        <v>2</v>
      </c>
      <c r="B38" s="1367" t="s">
        <v>765</v>
      </c>
      <c r="C38" s="1367"/>
      <c r="D38" s="1367"/>
      <c r="E38" s="1367"/>
      <c r="F38" s="1367"/>
      <c r="G38" s="1218"/>
      <c r="H38" s="1218"/>
      <c r="I38" s="1219"/>
    </row>
    <row r="39" spans="1:9" ht="13.5" thickBot="1">
      <c r="A39" s="1220">
        <v>3</v>
      </c>
      <c r="B39" s="1368" t="s">
        <v>766</v>
      </c>
      <c r="C39" s="1368"/>
      <c r="D39" s="1368"/>
      <c r="E39" s="1368"/>
      <c r="F39" s="1368"/>
      <c r="G39" s="1221"/>
      <c r="H39" s="1221">
        <f>3!F460</f>
        <v>20569</v>
      </c>
      <c r="I39" s="1222">
        <v>0</v>
      </c>
    </row>
    <row r="40" spans="1:9" ht="14.25" thickBot="1" thickTop="1">
      <c r="A40" s="1369" t="s">
        <v>767</v>
      </c>
      <c r="B40" s="1370"/>
      <c r="C40" s="1370"/>
      <c r="D40" s="1370"/>
      <c r="E40" s="1370"/>
      <c r="F40" s="1371"/>
      <c r="G40" s="1223">
        <f>SUM(G37:G39)</f>
        <v>0</v>
      </c>
      <c r="H40" s="1223">
        <f>SUM(H37:H39)</f>
        <v>24200</v>
      </c>
      <c r="I40" s="1224">
        <f>SUM(I37:I39)</f>
        <v>541</v>
      </c>
    </row>
    <row r="41" spans="1:9" ht="7.5" customHeight="1" thickBot="1">
      <c r="A41" s="1237"/>
      <c r="B41" s="1237"/>
      <c r="C41" s="1237"/>
      <c r="D41" s="1237"/>
      <c r="E41" s="1237"/>
      <c r="F41" s="1237"/>
      <c r="G41" s="1238"/>
      <c r="H41" s="1238"/>
      <c r="I41" s="1238"/>
    </row>
    <row r="42" spans="1:9" ht="14.25" thickBot="1" thickTop="1">
      <c r="A42" s="1369" t="s">
        <v>768</v>
      </c>
      <c r="B42" s="1370"/>
      <c r="C42" s="1370"/>
      <c r="D42" s="1370"/>
      <c r="E42" s="1370"/>
      <c r="F42" s="1371"/>
      <c r="G42" s="1223">
        <f>SUM(G39:G41)</f>
        <v>0</v>
      </c>
      <c r="H42" s="1223">
        <f>6!E30</f>
        <v>24200</v>
      </c>
      <c r="I42" s="1224">
        <f>6!F30</f>
        <v>541</v>
      </c>
    </row>
    <row r="44" spans="1:3" ht="12.75">
      <c r="A44" s="1374" t="s">
        <v>450</v>
      </c>
      <c r="B44" s="1375"/>
      <c r="C44" s="1375"/>
    </row>
    <row r="45" spans="1:9" ht="13.5" thickBot="1">
      <c r="A45" s="1211"/>
      <c r="B45" s="1372" t="s">
        <v>442</v>
      </c>
      <c r="C45" s="1373"/>
      <c r="D45" s="1373"/>
      <c r="E45" s="1373"/>
      <c r="F45" s="1373"/>
      <c r="G45" s="1373"/>
      <c r="H45" s="1373"/>
      <c r="I45" s="1214" t="s">
        <v>762</v>
      </c>
    </row>
    <row r="46" spans="1:9" ht="27" customHeight="1">
      <c r="A46" s="1364" t="s">
        <v>763</v>
      </c>
      <c r="B46" s="1365"/>
      <c r="C46" s="1365"/>
      <c r="D46" s="1365"/>
      <c r="E46" s="1365"/>
      <c r="F46" s="1366"/>
      <c r="G46" s="1215" t="s">
        <v>469</v>
      </c>
      <c r="H46" s="1215" t="s">
        <v>470</v>
      </c>
      <c r="I46" s="1216" t="s">
        <v>471</v>
      </c>
    </row>
    <row r="47" spans="1:9" ht="12.75">
      <c r="A47" s="1217">
        <v>1</v>
      </c>
      <c r="B47" s="1367" t="s">
        <v>764</v>
      </c>
      <c r="C47" s="1367"/>
      <c r="D47" s="1367"/>
      <c r="E47" s="1367"/>
      <c r="F47" s="1367"/>
      <c r="G47" s="1218">
        <v>4740</v>
      </c>
      <c r="H47" s="1235">
        <v>5119</v>
      </c>
      <c r="I47" s="1236">
        <f>I52-I49</f>
        <v>5542</v>
      </c>
    </row>
    <row r="48" spans="1:9" ht="12.75">
      <c r="A48" s="1217">
        <v>2</v>
      </c>
      <c r="B48" s="1367" t="s">
        <v>765</v>
      </c>
      <c r="C48" s="1367"/>
      <c r="D48" s="1367"/>
      <c r="E48" s="1367"/>
      <c r="F48" s="1367"/>
      <c r="G48" s="1218"/>
      <c r="H48" s="1218"/>
      <c r="I48" s="1219"/>
    </row>
    <row r="49" spans="1:9" ht="13.5" thickBot="1">
      <c r="A49" s="1220">
        <v>3</v>
      </c>
      <c r="B49" s="1368" t="s">
        <v>766</v>
      </c>
      <c r="C49" s="1368"/>
      <c r="D49" s="1368"/>
      <c r="E49" s="1368"/>
      <c r="F49" s="1368"/>
      <c r="G49" s="1221">
        <v>14930</v>
      </c>
      <c r="H49" s="1221">
        <v>14930</v>
      </c>
      <c r="I49" s="1222">
        <v>14930</v>
      </c>
    </row>
    <row r="50" spans="1:9" ht="14.25" thickBot="1" thickTop="1">
      <c r="A50" s="1369" t="s">
        <v>767</v>
      </c>
      <c r="B50" s="1370"/>
      <c r="C50" s="1370"/>
      <c r="D50" s="1370"/>
      <c r="E50" s="1370"/>
      <c r="F50" s="1371"/>
      <c r="G50" s="1223">
        <f>SUM(G47:G49)</f>
        <v>19670</v>
      </c>
      <c r="H50" s="1223">
        <f>SUM(H47:H49)</f>
        <v>20049</v>
      </c>
      <c r="I50" s="1224">
        <f>SUM(I47:I49)</f>
        <v>20472</v>
      </c>
    </row>
    <row r="51" spans="1:9" ht="7.5" customHeight="1" thickBot="1">
      <c r="A51" s="1237"/>
      <c r="B51" s="1237"/>
      <c r="C51" s="1237"/>
      <c r="D51" s="1237"/>
      <c r="E51" s="1237"/>
      <c r="F51" s="1237"/>
      <c r="G51" s="1238"/>
      <c r="H51" s="1238"/>
      <c r="I51" s="1238"/>
    </row>
    <row r="52" spans="1:9" ht="14.25" thickBot="1" thickTop="1">
      <c r="A52" s="1369" t="s">
        <v>768</v>
      </c>
      <c r="B52" s="1370"/>
      <c r="C52" s="1370"/>
      <c r="D52" s="1370"/>
      <c r="E52" s="1370"/>
      <c r="F52" s="1371"/>
      <c r="G52" s="1223">
        <v>19670</v>
      </c>
      <c r="H52" s="1223">
        <v>20049</v>
      </c>
      <c r="I52" s="1224">
        <f>6!F13</f>
        <v>20472</v>
      </c>
    </row>
    <row r="54" spans="1:3" ht="12.75">
      <c r="A54" s="1374" t="s">
        <v>451</v>
      </c>
      <c r="B54" s="1375"/>
      <c r="C54" s="1375"/>
    </row>
    <row r="55" spans="1:9" ht="26.25" customHeight="1" thickBot="1">
      <c r="A55" s="1211"/>
      <c r="B55" s="1372" t="s">
        <v>443</v>
      </c>
      <c r="C55" s="1373"/>
      <c r="D55" s="1373"/>
      <c r="E55" s="1373"/>
      <c r="F55" s="1373"/>
      <c r="G55" s="1373"/>
      <c r="H55" s="1373"/>
      <c r="I55" s="1214" t="s">
        <v>762</v>
      </c>
    </row>
    <row r="56" spans="1:9" ht="31.5" customHeight="1">
      <c r="A56" s="1364" t="s">
        <v>763</v>
      </c>
      <c r="B56" s="1365"/>
      <c r="C56" s="1365"/>
      <c r="D56" s="1365"/>
      <c r="E56" s="1365"/>
      <c r="F56" s="1366"/>
      <c r="G56" s="1215" t="s">
        <v>469</v>
      </c>
      <c r="H56" s="1215" t="s">
        <v>470</v>
      </c>
      <c r="I56" s="1216" t="s">
        <v>471</v>
      </c>
    </row>
    <row r="57" spans="1:9" ht="12.75">
      <c r="A57" s="1217">
        <v>1</v>
      </c>
      <c r="B57" s="1367" t="s">
        <v>764</v>
      </c>
      <c r="C57" s="1367"/>
      <c r="D57" s="1367"/>
      <c r="E57" s="1367"/>
      <c r="F57" s="1367"/>
      <c r="G57" s="1218"/>
      <c r="H57" s="1235">
        <v>0</v>
      </c>
      <c r="I57" s="1236"/>
    </row>
    <row r="58" spans="1:9" ht="12.75">
      <c r="A58" s="1217">
        <v>2</v>
      </c>
      <c r="B58" s="1367" t="s">
        <v>765</v>
      </c>
      <c r="C58" s="1367"/>
      <c r="D58" s="1367"/>
      <c r="E58" s="1367"/>
      <c r="F58" s="1367"/>
      <c r="G58" s="1218"/>
      <c r="H58" s="1218"/>
      <c r="I58" s="1219"/>
    </row>
    <row r="59" spans="1:9" ht="13.5" thickBot="1">
      <c r="A59" s="1220">
        <v>3</v>
      </c>
      <c r="B59" s="1368" t="s">
        <v>766</v>
      </c>
      <c r="C59" s="1368"/>
      <c r="D59" s="1368"/>
      <c r="E59" s="1368"/>
      <c r="F59" s="1368"/>
      <c r="G59" s="1221"/>
      <c r="H59" s="1221">
        <v>525</v>
      </c>
      <c r="I59" s="1222">
        <v>0</v>
      </c>
    </row>
    <row r="60" spans="1:9" ht="14.25" thickBot="1" thickTop="1">
      <c r="A60" s="1369" t="s">
        <v>767</v>
      </c>
      <c r="B60" s="1370"/>
      <c r="C60" s="1370"/>
      <c r="D60" s="1370"/>
      <c r="E60" s="1370"/>
      <c r="F60" s="1371"/>
      <c r="G60" s="1223">
        <f>SUM(G57:G59)</f>
        <v>0</v>
      </c>
      <c r="H60" s="1223">
        <f>SUM(H57:H59)</f>
        <v>525</v>
      </c>
      <c r="I60" s="1224">
        <f>SUM(I57:I59)</f>
        <v>0</v>
      </c>
    </row>
    <row r="61" spans="1:9" ht="6.75" customHeight="1" thickBot="1">
      <c r="A61" s="1237"/>
      <c r="B61" s="1237"/>
      <c r="C61" s="1237"/>
      <c r="D61" s="1237"/>
      <c r="E61" s="1237"/>
      <c r="F61" s="1237"/>
      <c r="G61" s="1238"/>
      <c r="H61" s="1238"/>
      <c r="I61" s="1238"/>
    </row>
    <row r="62" spans="1:9" ht="14.25" thickBot="1" thickTop="1">
      <c r="A62" s="1369" t="s">
        <v>768</v>
      </c>
      <c r="B62" s="1370"/>
      <c r="C62" s="1370"/>
      <c r="D62" s="1370"/>
      <c r="E62" s="1370"/>
      <c r="F62" s="1371"/>
      <c r="G62" s="1223">
        <f>SUM(G59:G61)</f>
        <v>0</v>
      </c>
      <c r="H62" s="1223">
        <v>525</v>
      </c>
      <c r="I62" s="1224">
        <v>525</v>
      </c>
    </row>
    <row r="64" spans="1:3" ht="12.75">
      <c r="A64" s="1374" t="s">
        <v>452</v>
      </c>
      <c r="B64" s="1375"/>
      <c r="C64" s="1375"/>
    </row>
    <row r="65" spans="1:9" ht="13.5" thickBot="1">
      <c r="A65" s="1211"/>
      <c r="B65" s="1239" t="s">
        <v>444</v>
      </c>
      <c r="C65" s="1212"/>
      <c r="I65" s="1214" t="s">
        <v>762</v>
      </c>
    </row>
    <row r="66" spans="1:9" ht="31.5" customHeight="1">
      <c r="A66" s="1364" t="s">
        <v>763</v>
      </c>
      <c r="B66" s="1365"/>
      <c r="C66" s="1365"/>
      <c r="D66" s="1365"/>
      <c r="E66" s="1365"/>
      <c r="F66" s="1366"/>
      <c r="G66" s="1215" t="s">
        <v>469</v>
      </c>
      <c r="H66" s="1215" t="s">
        <v>470</v>
      </c>
      <c r="I66" s="1216" t="s">
        <v>471</v>
      </c>
    </row>
    <row r="67" spans="1:9" ht="12.75">
      <c r="A67" s="1217">
        <v>1</v>
      </c>
      <c r="B67" s="1367" t="s">
        <v>764</v>
      </c>
      <c r="C67" s="1367"/>
      <c r="D67" s="1367"/>
      <c r="E67" s="1367"/>
      <c r="F67" s="1367"/>
      <c r="G67" s="1218"/>
      <c r="H67" s="1235">
        <v>0</v>
      </c>
      <c r="I67" s="1236"/>
    </row>
    <row r="68" spans="1:9" ht="12.75">
      <c r="A68" s="1217">
        <v>2</v>
      </c>
      <c r="B68" s="1367" t="s">
        <v>765</v>
      </c>
      <c r="C68" s="1367"/>
      <c r="D68" s="1367"/>
      <c r="E68" s="1367"/>
      <c r="F68" s="1367"/>
      <c r="G68" s="1218"/>
      <c r="H68" s="1218">
        <v>0</v>
      </c>
      <c r="I68" s="1219"/>
    </row>
    <row r="69" spans="1:9" ht="13.5" thickBot="1">
      <c r="A69" s="1220">
        <v>3</v>
      </c>
      <c r="B69" s="1368" t="s">
        <v>766</v>
      </c>
      <c r="C69" s="1368"/>
      <c r="D69" s="1368"/>
      <c r="E69" s="1368"/>
      <c r="F69" s="1368"/>
      <c r="G69" s="1221"/>
      <c r="H69" s="1221">
        <v>0</v>
      </c>
      <c r="I69" s="1222"/>
    </row>
    <row r="70" spans="1:9" ht="14.25" thickBot="1" thickTop="1">
      <c r="A70" s="1369" t="s">
        <v>767</v>
      </c>
      <c r="B70" s="1370"/>
      <c r="C70" s="1370"/>
      <c r="D70" s="1370"/>
      <c r="E70" s="1370"/>
      <c r="F70" s="1371"/>
      <c r="G70" s="1223">
        <f>SUM(G67:G69)</f>
        <v>0</v>
      </c>
      <c r="H70" s="1223">
        <f>SUM(H67:H69)</f>
        <v>0</v>
      </c>
      <c r="I70" s="1224">
        <f>SUM(I67:I69)</f>
        <v>0</v>
      </c>
    </row>
    <row r="71" spans="1:9" ht="4.5" customHeight="1" thickBot="1">
      <c r="A71" s="1237"/>
      <c r="B71" s="1237"/>
      <c r="C71" s="1237"/>
      <c r="D71" s="1237"/>
      <c r="E71" s="1237"/>
      <c r="F71" s="1237"/>
      <c r="G71" s="1238"/>
      <c r="H71" s="1238"/>
      <c r="I71" s="1238"/>
    </row>
    <row r="72" spans="1:9" ht="14.25" thickBot="1" thickTop="1">
      <c r="A72" s="1369" t="s">
        <v>768</v>
      </c>
      <c r="B72" s="1370"/>
      <c r="C72" s="1370"/>
      <c r="D72" s="1370"/>
      <c r="E72" s="1370"/>
      <c r="F72" s="1371"/>
      <c r="G72" s="1223">
        <f>SUM(G69:G71)</f>
        <v>0</v>
      </c>
      <c r="H72" s="1223">
        <v>0</v>
      </c>
      <c r="I72" s="1224"/>
    </row>
    <row r="74" spans="1:3" ht="12.75">
      <c r="A74" s="1374" t="s">
        <v>453</v>
      </c>
      <c r="B74" s="1375"/>
      <c r="C74" s="1375"/>
    </row>
    <row r="75" spans="1:9" ht="13.5" thickBot="1">
      <c r="A75" s="1211"/>
      <c r="B75" s="1372" t="s">
        <v>445</v>
      </c>
      <c r="C75" s="1373"/>
      <c r="D75" s="1373"/>
      <c r="E75" s="1373"/>
      <c r="F75" s="1373"/>
      <c r="G75" s="1373"/>
      <c r="H75" s="1373"/>
      <c r="I75" s="1214" t="s">
        <v>762</v>
      </c>
    </row>
    <row r="76" spans="1:9" ht="32.25" customHeight="1">
      <c r="A76" s="1364" t="s">
        <v>763</v>
      </c>
      <c r="B76" s="1365"/>
      <c r="C76" s="1365"/>
      <c r="D76" s="1365"/>
      <c r="E76" s="1365"/>
      <c r="F76" s="1366"/>
      <c r="G76" s="1215" t="s">
        <v>469</v>
      </c>
      <c r="H76" s="1215" t="s">
        <v>470</v>
      </c>
      <c r="I76" s="1216" t="s">
        <v>471</v>
      </c>
    </row>
    <row r="77" spans="1:9" ht="12.75">
      <c r="A77" s="1217">
        <v>1</v>
      </c>
      <c r="B77" s="1367" t="s">
        <v>764</v>
      </c>
      <c r="C77" s="1367"/>
      <c r="D77" s="1367"/>
      <c r="E77" s="1367"/>
      <c r="F77" s="1367"/>
      <c r="G77" s="1218"/>
      <c r="H77" s="1235">
        <v>3833</v>
      </c>
      <c r="I77" s="1236">
        <v>0</v>
      </c>
    </row>
    <row r="78" spans="1:9" ht="12.75">
      <c r="A78" s="1217">
        <v>2</v>
      </c>
      <c r="B78" s="1367" t="s">
        <v>765</v>
      </c>
      <c r="C78" s="1367"/>
      <c r="D78" s="1367"/>
      <c r="E78" s="1367"/>
      <c r="F78" s="1367"/>
      <c r="G78" s="1218"/>
      <c r="H78" s="1218"/>
      <c r="I78" s="1219"/>
    </row>
    <row r="79" spans="1:9" ht="13.5" thickBot="1">
      <c r="A79" s="1220">
        <v>3</v>
      </c>
      <c r="B79" s="1368" t="s">
        <v>766</v>
      </c>
      <c r="C79" s="1368"/>
      <c r="D79" s="1368"/>
      <c r="E79" s="1368"/>
      <c r="F79" s="1368"/>
      <c r="G79" s="1221"/>
      <c r="H79" s="1221">
        <v>21722</v>
      </c>
      <c r="I79" s="1222">
        <v>0</v>
      </c>
    </row>
    <row r="80" spans="1:9" ht="14.25" thickBot="1" thickTop="1">
      <c r="A80" s="1369" t="s">
        <v>767</v>
      </c>
      <c r="B80" s="1370"/>
      <c r="C80" s="1370"/>
      <c r="D80" s="1370"/>
      <c r="E80" s="1370"/>
      <c r="F80" s="1371"/>
      <c r="G80" s="1223">
        <f>SUM(G77:G79)</f>
        <v>0</v>
      </c>
      <c r="H80" s="1223">
        <f>SUM(H77:H79)</f>
        <v>25555</v>
      </c>
      <c r="I80" s="1224">
        <f>SUM(I77:I79)</f>
        <v>0</v>
      </c>
    </row>
    <row r="81" ht="4.5" customHeight="1" thickBot="1"/>
    <row r="82" spans="1:9" ht="14.25" thickBot="1" thickTop="1">
      <c r="A82" s="1369" t="s">
        <v>768</v>
      </c>
      <c r="B82" s="1370"/>
      <c r="C82" s="1370"/>
      <c r="D82" s="1370"/>
      <c r="E82" s="1370"/>
      <c r="F82" s="1371"/>
      <c r="G82" s="1223">
        <f>SUM(G79:G81)</f>
        <v>0</v>
      </c>
      <c r="H82" s="1223">
        <v>25555</v>
      </c>
      <c r="I82" s="1224">
        <v>0</v>
      </c>
    </row>
    <row r="83" spans="1:3" ht="19.5" customHeight="1">
      <c r="A83" s="1374" t="s">
        <v>454</v>
      </c>
      <c r="B83" s="1375"/>
      <c r="C83" s="1375"/>
    </row>
    <row r="84" spans="1:9" ht="13.5" thickBot="1">
      <c r="A84" s="1211"/>
      <c r="B84" s="1372" t="s">
        <v>446</v>
      </c>
      <c r="C84" s="1373"/>
      <c r="D84" s="1373"/>
      <c r="E84" s="1373"/>
      <c r="F84" s="1373"/>
      <c r="G84" s="1373"/>
      <c r="H84" s="1373"/>
      <c r="I84" s="1214" t="s">
        <v>762</v>
      </c>
    </row>
    <row r="85" spans="1:9" ht="30" customHeight="1">
      <c r="A85" s="1364" t="s">
        <v>763</v>
      </c>
      <c r="B85" s="1365"/>
      <c r="C85" s="1365"/>
      <c r="D85" s="1365"/>
      <c r="E85" s="1365"/>
      <c r="F85" s="1366"/>
      <c r="G85" s="1215" t="s">
        <v>469</v>
      </c>
      <c r="H85" s="1215" t="s">
        <v>470</v>
      </c>
      <c r="I85" s="1216" t="s">
        <v>471</v>
      </c>
    </row>
    <row r="86" spans="1:9" ht="12.75">
      <c r="A86" s="1217">
        <v>1</v>
      </c>
      <c r="B86" s="1367" t="s">
        <v>764</v>
      </c>
      <c r="C86" s="1367"/>
      <c r="D86" s="1367"/>
      <c r="E86" s="1367"/>
      <c r="F86" s="1367"/>
      <c r="G86" s="1218"/>
      <c r="H86" s="1235">
        <v>10713</v>
      </c>
      <c r="I86" s="1236">
        <v>713</v>
      </c>
    </row>
    <row r="87" spans="1:9" ht="12.75">
      <c r="A87" s="1217">
        <v>2</v>
      </c>
      <c r="B87" s="1367" t="s">
        <v>765</v>
      </c>
      <c r="C87" s="1367"/>
      <c r="D87" s="1367"/>
      <c r="E87" s="1367"/>
      <c r="F87" s="1367"/>
      <c r="G87" s="1218"/>
      <c r="H87" s="1218"/>
      <c r="I87" s="1219"/>
    </row>
    <row r="88" spans="1:9" ht="13.5" thickBot="1">
      <c r="A88" s="1220">
        <v>3</v>
      </c>
      <c r="B88" s="1368" t="s">
        <v>766</v>
      </c>
      <c r="C88" s="1368"/>
      <c r="D88" s="1368"/>
      <c r="E88" s="1368"/>
      <c r="F88" s="1368"/>
      <c r="G88" s="1221"/>
      <c r="H88" s="1221"/>
      <c r="I88" s="1222"/>
    </row>
    <row r="89" spans="1:9" ht="14.25" thickBot="1" thickTop="1">
      <c r="A89" s="1369" t="s">
        <v>767</v>
      </c>
      <c r="B89" s="1370"/>
      <c r="C89" s="1370"/>
      <c r="D89" s="1370"/>
      <c r="E89" s="1370"/>
      <c r="F89" s="1371"/>
      <c r="G89" s="1223">
        <f>SUM(G86:G88)</f>
        <v>0</v>
      </c>
      <c r="H89" s="1223">
        <f>SUM(H86:H88)</f>
        <v>10713</v>
      </c>
      <c r="I89" s="1224">
        <f>SUM(I86:I88)</f>
        <v>713</v>
      </c>
    </row>
    <row r="90" ht="5.25" customHeight="1" thickBot="1"/>
    <row r="91" spans="1:9" ht="14.25" thickBot="1" thickTop="1">
      <c r="A91" s="1369" t="s">
        <v>768</v>
      </c>
      <c r="B91" s="1370"/>
      <c r="C91" s="1370"/>
      <c r="D91" s="1370"/>
      <c r="E91" s="1370"/>
      <c r="F91" s="1371"/>
      <c r="G91" s="1223">
        <f>SUM(G88:G90)</f>
        <v>0</v>
      </c>
      <c r="H91" s="1223">
        <f>6!E43</f>
        <v>10713</v>
      </c>
      <c r="I91" s="1224">
        <f>6!F43</f>
        <v>713</v>
      </c>
    </row>
  </sheetData>
  <sheetProtection/>
  <mergeCells count="70">
    <mergeCell ref="B77:F77"/>
    <mergeCell ref="B86:F86"/>
    <mergeCell ref="B55:H55"/>
    <mergeCell ref="A80:F80"/>
    <mergeCell ref="B68:F68"/>
    <mergeCell ref="B45:H45"/>
    <mergeCell ref="A72:F72"/>
    <mergeCell ref="B69:F69"/>
    <mergeCell ref="A70:F70"/>
    <mergeCell ref="A74:C74"/>
    <mergeCell ref="A76:F76"/>
    <mergeCell ref="A62:F62"/>
    <mergeCell ref="B84:H84"/>
    <mergeCell ref="B75:H75"/>
    <mergeCell ref="A91:F91"/>
    <mergeCell ref="B87:F87"/>
    <mergeCell ref="B88:F88"/>
    <mergeCell ref="A89:F89"/>
    <mergeCell ref="A82:F82"/>
    <mergeCell ref="A83:C83"/>
    <mergeCell ref="A85:F85"/>
    <mergeCell ref="A52:F52"/>
    <mergeCell ref="B48:F48"/>
    <mergeCell ref="B49:F49"/>
    <mergeCell ref="A50:F50"/>
    <mergeCell ref="B78:F78"/>
    <mergeCell ref="B79:F79"/>
    <mergeCell ref="A60:F60"/>
    <mergeCell ref="A64:C64"/>
    <mergeCell ref="A66:F66"/>
    <mergeCell ref="B67:F67"/>
    <mergeCell ref="A56:F56"/>
    <mergeCell ref="B57:F57"/>
    <mergeCell ref="B58:F58"/>
    <mergeCell ref="B59:F59"/>
    <mergeCell ref="A54:C54"/>
    <mergeCell ref="A40:F40"/>
    <mergeCell ref="A44:C44"/>
    <mergeCell ref="A46:F46"/>
    <mergeCell ref="B47:F47"/>
    <mergeCell ref="A42:F42"/>
    <mergeCell ref="B39:F39"/>
    <mergeCell ref="B28:F28"/>
    <mergeCell ref="B29:F29"/>
    <mergeCell ref="A30:F30"/>
    <mergeCell ref="A34:C34"/>
    <mergeCell ref="A32:F32"/>
    <mergeCell ref="B38:F38"/>
    <mergeCell ref="A36:F36"/>
    <mergeCell ref="B37:F37"/>
    <mergeCell ref="A4:C4"/>
    <mergeCell ref="A24:C24"/>
    <mergeCell ref="A26:F26"/>
    <mergeCell ref="B27:F27"/>
    <mergeCell ref="B19:F19"/>
    <mergeCell ref="A20:F20"/>
    <mergeCell ref="A16:F16"/>
    <mergeCell ref="B18:F18"/>
    <mergeCell ref="B25:H25"/>
    <mergeCell ref="A10:F10"/>
    <mergeCell ref="B5:H5"/>
    <mergeCell ref="B35:H35"/>
    <mergeCell ref="A6:F6"/>
    <mergeCell ref="B7:F7"/>
    <mergeCell ref="B8:F8"/>
    <mergeCell ref="B9:F9"/>
    <mergeCell ref="B17:F17"/>
    <mergeCell ref="A12:F12"/>
    <mergeCell ref="A22:F22"/>
    <mergeCell ref="B15:H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145" zoomScaleSheetLayoutView="145" zoomScalePageLayoutView="0" workbookViewId="0" topLeftCell="D1">
      <selection activeCell="L18" sqref="L18"/>
    </sheetView>
  </sheetViews>
  <sheetFormatPr defaultColWidth="9.00390625" defaultRowHeight="12.75"/>
  <cols>
    <col min="1" max="1" width="3.125" style="484" bestFit="1" customWidth="1"/>
    <col min="2" max="2" width="2.25390625" style="484" bestFit="1" customWidth="1"/>
    <col min="3" max="3" width="44.75390625" style="484" customWidth="1"/>
    <col min="4" max="4" width="27.125" style="484" customWidth="1"/>
    <col min="5" max="6" width="8.375" style="484" customWidth="1"/>
    <col min="7" max="8" width="7.75390625" style="484" customWidth="1"/>
    <col min="9" max="9" width="8.375" style="484" customWidth="1"/>
    <col min="10" max="10" width="8.00390625" style="484" customWidth="1"/>
    <col min="11" max="11" width="9.375" style="484" customWidth="1"/>
    <col min="12" max="16384" width="9.125" style="484" customWidth="1"/>
  </cols>
  <sheetData>
    <row r="1" spans="2:11" ht="12.75">
      <c r="B1" s="485"/>
      <c r="C1" s="485"/>
      <c r="D1" s="485"/>
      <c r="E1" s="485"/>
      <c r="G1" s="485"/>
      <c r="H1" s="485"/>
      <c r="J1" s="485"/>
      <c r="K1" s="485"/>
    </row>
    <row r="2" spans="2:11" ht="12.75">
      <c r="B2" s="485"/>
      <c r="C2" s="485"/>
      <c r="D2" s="485"/>
      <c r="E2" s="485"/>
      <c r="G2" s="485"/>
      <c r="H2" s="485"/>
      <c r="J2" s="485"/>
      <c r="K2" s="485"/>
    </row>
    <row r="3" spans="2:11" ht="12.75">
      <c r="B3" s="485"/>
      <c r="C3" s="485"/>
      <c r="D3" s="485"/>
      <c r="E3" s="485"/>
      <c r="F3" s="485"/>
      <c r="G3" s="485"/>
      <c r="H3" s="485"/>
      <c r="I3" s="485"/>
      <c r="J3" s="485"/>
      <c r="K3" s="485"/>
    </row>
    <row r="4" spans="2:11" ht="13.5" thickBot="1">
      <c r="B4" s="485"/>
      <c r="C4" s="485"/>
      <c r="D4" s="485"/>
      <c r="E4" s="485"/>
      <c r="F4" s="485"/>
      <c r="G4" s="1376" t="s">
        <v>315</v>
      </c>
      <c r="H4" s="1376"/>
      <c r="I4" s="1376"/>
      <c r="J4" s="1376"/>
      <c r="K4" s="1376"/>
    </row>
    <row r="5" spans="1:11" ht="60">
      <c r="A5" s="1378" t="s">
        <v>769</v>
      </c>
      <c r="B5" s="486"/>
      <c r="C5" s="487" t="s">
        <v>770</v>
      </c>
      <c r="D5" s="488" t="s">
        <v>771</v>
      </c>
      <c r="E5" s="489" t="s">
        <v>772</v>
      </c>
      <c r="F5" s="489" t="s">
        <v>773</v>
      </c>
      <c r="G5" s="489" t="s">
        <v>774</v>
      </c>
      <c r="H5" s="489" t="s">
        <v>775</v>
      </c>
      <c r="I5" s="489" t="s">
        <v>776</v>
      </c>
      <c r="J5" s="489" t="s">
        <v>777</v>
      </c>
      <c r="K5" s="490" t="s">
        <v>778</v>
      </c>
    </row>
    <row r="6" spans="1:11" ht="36.75" customHeight="1">
      <c r="A6" s="1379"/>
      <c r="B6" s="491" t="s">
        <v>109</v>
      </c>
      <c r="C6" s="492" t="s">
        <v>779</v>
      </c>
      <c r="D6" s="495" t="s">
        <v>780</v>
      </c>
      <c r="E6" s="494">
        <v>2006</v>
      </c>
      <c r="F6" s="494">
        <v>2026</v>
      </c>
      <c r="G6" s="494">
        <v>17601</v>
      </c>
      <c r="H6" s="494">
        <v>17112</v>
      </c>
      <c r="I6" s="856">
        <v>978</v>
      </c>
      <c r="J6" s="494">
        <f>H6-I6</f>
        <v>16134</v>
      </c>
      <c r="K6" s="857">
        <v>652</v>
      </c>
    </row>
    <row r="7" spans="1:11" ht="12.75">
      <c r="A7" s="1379"/>
      <c r="B7" s="491" t="s">
        <v>111</v>
      </c>
      <c r="C7" s="492" t="s">
        <v>779</v>
      </c>
      <c r="D7" s="493" t="s">
        <v>781</v>
      </c>
      <c r="E7" s="494">
        <v>2007</v>
      </c>
      <c r="F7" s="494">
        <v>2009</v>
      </c>
      <c r="G7" s="494">
        <v>250000</v>
      </c>
      <c r="H7" s="494">
        <v>16219</v>
      </c>
      <c r="I7" s="856">
        <v>16219</v>
      </c>
      <c r="J7" s="494">
        <f>H7-I7</f>
        <v>0</v>
      </c>
      <c r="K7" s="857">
        <v>0</v>
      </c>
    </row>
    <row r="8" spans="1:11" ht="12.75">
      <c r="A8" s="1379"/>
      <c r="B8" s="491" t="s">
        <v>113</v>
      </c>
      <c r="C8" s="492" t="s">
        <v>30</v>
      </c>
      <c r="D8" s="493" t="s">
        <v>781</v>
      </c>
      <c r="E8" s="494">
        <v>2009</v>
      </c>
      <c r="F8" s="494">
        <v>2010</v>
      </c>
      <c r="G8" s="494">
        <v>250000</v>
      </c>
      <c r="H8" s="494">
        <v>0</v>
      </c>
      <c r="I8" s="856">
        <v>0</v>
      </c>
      <c r="J8" s="494" t="e">
        <f>#REF!</f>
        <v>#REF!</v>
      </c>
      <c r="K8" s="857" t="e">
        <f>J8</f>
        <v>#REF!</v>
      </c>
    </row>
    <row r="9" spans="1:11" ht="24.75" thickBot="1">
      <c r="A9" s="1379"/>
      <c r="B9" s="491" t="s">
        <v>115</v>
      </c>
      <c r="C9" s="492" t="s">
        <v>631</v>
      </c>
      <c r="D9" s="495" t="s">
        <v>398</v>
      </c>
      <c r="E9" s="494">
        <v>2008</v>
      </c>
      <c r="F9" s="494">
        <v>2028</v>
      </c>
      <c r="G9" s="494">
        <v>808824</v>
      </c>
      <c r="H9" s="494">
        <v>808824</v>
      </c>
      <c r="I9" s="856"/>
      <c r="J9" s="494">
        <v>808824</v>
      </c>
      <c r="K9" s="857">
        <v>0</v>
      </c>
    </row>
    <row r="10" spans="1:11" ht="13.5" thickBot="1">
      <c r="A10" s="1380"/>
      <c r="B10" s="499"/>
      <c r="C10" s="1382" t="s">
        <v>751</v>
      </c>
      <c r="D10" s="1383"/>
      <c r="E10" s="500"/>
      <c r="F10" s="501"/>
      <c r="G10" s="501">
        <f>SUM(G6:G9)</f>
        <v>1326425</v>
      </c>
      <c r="H10" s="501">
        <f>SUM(H6:H9)</f>
        <v>842155</v>
      </c>
      <c r="I10" s="501">
        <f>SUM(I6:I9)</f>
        <v>17197</v>
      </c>
      <c r="J10" s="501" t="e">
        <f>SUM(J6:J9)</f>
        <v>#REF!</v>
      </c>
      <c r="K10" s="889" t="e">
        <f>SUM(K6:K9)</f>
        <v>#REF!</v>
      </c>
    </row>
    <row r="11" spans="2:11" ht="10.5" customHeight="1" thickBot="1">
      <c r="B11" s="485"/>
      <c r="C11" s="485"/>
      <c r="D11" s="502"/>
      <c r="E11" s="485"/>
      <c r="F11" s="503"/>
      <c r="G11" s="504"/>
      <c r="H11" s="503"/>
      <c r="I11" s="485"/>
      <c r="J11" s="485"/>
      <c r="K11" s="485"/>
    </row>
    <row r="12" spans="1:11" ht="15.75" customHeight="1">
      <c r="A12" s="1378" t="s">
        <v>782</v>
      </c>
      <c r="B12" s="505" t="s">
        <v>109</v>
      </c>
      <c r="C12" s="505" t="s">
        <v>783</v>
      </c>
      <c r="D12" s="493" t="s">
        <v>784</v>
      </c>
      <c r="E12" s="506" t="s">
        <v>785</v>
      </c>
      <c r="F12" s="858">
        <v>2021</v>
      </c>
      <c r="G12" s="862">
        <v>3949</v>
      </c>
      <c r="H12" s="862">
        <v>3949</v>
      </c>
      <c r="I12" s="880">
        <v>349</v>
      </c>
      <c r="J12" s="862">
        <v>3949</v>
      </c>
      <c r="K12" s="507">
        <v>524</v>
      </c>
    </row>
    <row r="13" spans="1:11" ht="18.75" customHeight="1">
      <c r="A13" s="1379"/>
      <c r="B13" s="491" t="s">
        <v>111</v>
      </c>
      <c r="C13" s="493" t="s">
        <v>786</v>
      </c>
      <c r="D13" s="493" t="s">
        <v>787</v>
      </c>
      <c r="E13" s="494" t="s">
        <v>785</v>
      </c>
      <c r="F13" s="849">
        <v>2020</v>
      </c>
      <c r="G13" s="860">
        <f>1137+167</f>
        <v>1304</v>
      </c>
      <c r="H13" s="860">
        <v>1304</v>
      </c>
      <c r="I13" s="860">
        <f>H13-J13</f>
        <v>177</v>
      </c>
      <c r="J13" s="860">
        <f>1036+91</f>
        <v>1127</v>
      </c>
      <c r="K13" s="508">
        <f>56+105</f>
        <v>161</v>
      </c>
    </row>
    <row r="14" spans="1:11" ht="18.75" customHeight="1">
      <c r="A14" s="1379"/>
      <c r="B14" s="491"/>
      <c r="C14" s="859" t="s">
        <v>399</v>
      </c>
      <c r="D14" s="493" t="s">
        <v>787</v>
      </c>
      <c r="E14" s="496" t="s">
        <v>785</v>
      </c>
      <c r="F14" s="850">
        <v>2011</v>
      </c>
      <c r="G14" s="861">
        <v>167</v>
      </c>
      <c r="H14" s="861">
        <v>167</v>
      </c>
      <c r="I14" s="860">
        <f>H14-J14</f>
        <v>76</v>
      </c>
      <c r="J14" s="861">
        <v>91</v>
      </c>
      <c r="K14" s="509">
        <v>56</v>
      </c>
    </row>
    <row r="15" spans="1:11" ht="16.5" customHeight="1">
      <c r="A15" s="1379"/>
      <c r="B15" s="491" t="s">
        <v>113</v>
      </c>
      <c r="C15" s="493" t="s">
        <v>788</v>
      </c>
      <c r="D15" s="493" t="s">
        <v>784</v>
      </c>
      <c r="E15" s="494" t="s">
        <v>785</v>
      </c>
      <c r="F15" s="849" t="s">
        <v>785</v>
      </c>
      <c r="G15" s="860">
        <v>2467</v>
      </c>
      <c r="H15" s="860">
        <v>2467</v>
      </c>
      <c r="I15" s="860">
        <f>H15-J15</f>
        <v>150</v>
      </c>
      <c r="J15" s="860">
        <v>2317</v>
      </c>
      <c r="K15" s="508">
        <v>150</v>
      </c>
    </row>
    <row r="16" spans="1:11" ht="16.5" customHeight="1">
      <c r="A16" s="1379"/>
      <c r="B16" s="491" t="s">
        <v>115</v>
      </c>
      <c r="C16" s="493" t="s">
        <v>789</v>
      </c>
      <c r="D16" s="493" t="s">
        <v>790</v>
      </c>
      <c r="E16" s="494" t="s">
        <v>785</v>
      </c>
      <c r="F16" s="849" t="s">
        <v>785</v>
      </c>
      <c r="G16" s="860">
        <v>20243</v>
      </c>
      <c r="H16" s="860">
        <v>20243</v>
      </c>
      <c r="I16" s="860">
        <f>H16-J16</f>
        <v>3719</v>
      </c>
      <c r="J16" s="860">
        <v>16524</v>
      </c>
      <c r="K16" s="508">
        <v>4058</v>
      </c>
    </row>
    <row r="17" spans="1:11" ht="15.75" customHeight="1" thickBot="1">
      <c r="A17" s="1379"/>
      <c r="B17" s="491"/>
      <c r="C17" s="510"/>
      <c r="D17" s="511"/>
      <c r="E17" s="496"/>
      <c r="F17" s="496"/>
      <c r="G17" s="496"/>
      <c r="H17" s="496"/>
      <c r="I17" s="497"/>
      <c r="J17" s="512"/>
      <c r="K17" s="498"/>
    </row>
    <row r="18" spans="1:11" ht="24.75" customHeight="1" thickBot="1">
      <c r="A18" s="1380"/>
      <c r="B18" s="499"/>
      <c r="C18" s="1382" t="s">
        <v>751</v>
      </c>
      <c r="D18" s="1383"/>
      <c r="E18" s="500"/>
      <c r="F18" s="501"/>
      <c r="G18" s="501">
        <f>G12+G13+G15+G16</f>
        <v>27963</v>
      </c>
      <c r="H18" s="501">
        <f>H12+H13+H15+H16</f>
        <v>27963</v>
      </c>
      <c r="I18" s="501">
        <f>I12+I13+I15+I16</f>
        <v>4395</v>
      </c>
      <c r="J18" s="501">
        <f>J12+J13+J15+J16</f>
        <v>23917</v>
      </c>
      <c r="K18" s="889">
        <f>K12+K13+K15+K16</f>
        <v>4893</v>
      </c>
    </row>
    <row r="19" spans="2:11" ht="12.75">
      <c r="B19" s="485"/>
      <c r="C19" s="855" t="s">
        <v>666</v>
      </c>
      <c r="D19" s="485"/>
      <c r="E19" s="485"/>
      <c r="F19" s="485"/>
      <c r="G19" s="485"/>
      <c r="H19" s="485"/>
      <c r="I19" s="513"/>
      <c r="J19" s="485"/>
      <c r="K19" s="485"/>
    </row>
    <row r="20" spans="1:11" ht="12.75">
      <c r="A20" s="1381"/>
      <c r="B20" s="1381"/>
      <c r="C20" s="1381"/>
      <c r="D20" s="1381"/>
      <c r="E20" s="1381"/>
      <c r="F20" s="1381"/>
      <c r="G20" s="1381"/>
      <c r="H20" s="1381"/>
      <c r="I20" s="1381"/>
      <c r="J20" s="1381"/>
      <c r="K20" s="514"/>
    </row>
    <row r="21" spans="2:10" ht="12.75">
      <c r="B21" s="1377"/>
      <c r="C21" s="1377"/>
      <c r="D21" s="1377"/>
      <c r="E21" s="1377"/>
      <c r="F21" s="1377"/>
      <c r="G21" s="1377"/>
      <c r="H21" s="1377"/>
      <c r="I21" s="1377"/>
      <c r="J21" s="1377"/>
    </row>
    <row r="22" spans="2:10" ht="12.75">
      <c r="B22" s="1377"/>
      <c r="C22" s="1377"/>
      <c r="D22" s="1377"/>
      <c r="E22" s="1377"/>
      <c r="F22" s="1377"/>
      <c r="G22" s="1377"/>
      <c r="H22" s="1377"/>
      <c r="I22" s="1377"/>
      <c r="J22" s="1377"/>
    </row>
  </sheetData>
  <sheetProtection/>
  <mergeCells count="8">
    <mergeCell ref="G4:K4"/>
    <mergeCell ref="B21:J21"/>
    <mergeCell ref="B22:J22"/>
    <mergeCell ref="A5:A10"/>
    <mergeCell ref="A12:A18"/>
    <mergeCell ref="A20:J20"/>
    <mergeCell ref="C10:D10"/>
    <mergeCell ref="C18:D18"/>
  </mergeCells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R29"/>
  <sheetViews>
    <sheetView view="pageBreakPreview" zoomScale="145" zoomScaleSheetLayoutView="145" zoomScalePageLayoutView="0" workbookViewId="0" topLeftCell="C13">
      <selection activeCell="I19" sqref="I19"/>
    </sheetView>
  </sheetViews>
  <sheetFormatPr defaultColWidth="9.00390625" defaultRowHeight="12.75"/>
  <cols>
    <col min="1" max="1" width="3.875" style="0" customWidth="1"/>
    <col min="2" max="2" width="20.875" style="0" customWidth="1"/>
    <col min="3" max="3" width="7.00390625" style="0" customWidth="1"/>
    <col min="4" max="4" width="6.875" style="0" customWidth="1"/>
    <col min="5" max="5" width="7.00390625" style="0" customWidth="1"/>
    <col min="6" max="6" width="7.25390625" style="0" customWidth="1"/>
    <col min="7" max="7" width="7.75390625" style="0" customWidth="1"/>
    <col min="8" max="9" width="6.625" style="0" customWidth="1"/>
    <col min="10" max="10" width="6.375" style="0" customWidth="1"/>
    <col min="11" max="11" width="6.625" style="0" customWidth="1"/>
    <col min="12" max="12" width="7.25390625" style="0" customWidth="1"/>
    <col min="13" max="13" width="6.75390625" style="0" customWidth="1"/>
    <col min="14" max="14" width="5.75390625" style="0" customWidth="1"/>
    <col min="15" max="15" width="6.25390625" style="0" customWidth="1"/>
    <col min="16" max="16" width="6.625" style="0" customWidth="1"/>
    <col min="17" max="17" width="6.75390625" style="0" customWidth="1"/>
    <col min="18" max="18" width="5.75390625" style="0" customWidth="1"/>
  </cols>
  <sheetData>
    <row r="4" ht="12.75">
      <c r="Q4" s="515" t="s">
        <v>308</v>
      </c>
    </row>
    <row r="5" ht="2.25" customHeight="1" thickBot="1"/>
    <row r="6" spans="1:18" s="18" customFormat="1" ht="20.25" customHeight="1">
      <c r="A6" s="516" t="s">
        <v>235</v>
      </c>
      <c r="B6" s="517" t="s">
        <v>250</v>
      </c>
      <c r="C6" s="1390" t="s">
        <v>791</v>
      </c>
      <c r="D6" s="1391"/>
      <c r="E6" s="1402"/>
      <c r="F6" s="1390" t="s">
        <v>792</v>
      </c>
      <c r="G6" s="1391"/>
      <c r="H6" s="1392"/>
      <c r="I6" s="1397" t="s">
        <v>793</v>
      </c>
      <c r="J6" s="518" t="s">
        <v>251</v>
      </c>
      <c r="K6" s="519" t="s">
        <v>252</v>
      </c>
      <c r="L6" s="519" t="s">
        <v>253</v>
      </c>
      <c r="M6" s="519" t="s">
        <v>254</v>
      </c>
      <c r="N6" s="1384" t="s">
        <v>339</v>
      </c>
      <c r="O6" s="1387" t="s">
        <v>794</v>
      </c>
      <c r="P6" s="519" t="s">
        <v>255</v>
      </c>
      <c r="Q6" s="520" t="s">
        <v>256</v>
      </c>
      <c r="R6" s="521"/>
    </row>
    <row r="7" spans="1:18" s="18" customFormat="1" ht="19.5" customHeight="1">
      <c r="A7" s="522" t="s">
        <v>258</v>
      </c>
      <c r="B7" s="523" t="s">
        <v>259</v>
      </c>
      <c r="C7" s="1393" t="s">
        <v>795</v>
      </c>
      <c r="D7" s="1393" t="s">
        <v>471</v>
      </c>
      <c r="E7" s="1393" t="s">
        <v>796</v>
      </c>
      <c r="F7" s="1393" t="s">
        <v>795</v>
      </c>
      <c r="G7" s="1393" t="s">
        <v>471</v>
      </c>
      <c r="H7" s="1395" t="s">
        <v>797</v>
      </c>
      <c r="I7" s="1398"/>
      <c r="J7" s="525" t="s">
        <v>260</v>
      </c>
      <c r="K7" s="526" t="s">
        <v>261</v>
      </c>
      <c r="L7" s="526" t="s">
        <v>262</v>
      </c>
      <c r="M7" s="526" t="s">
        <v>263</v>
      </c>
      <c r="N7" s="1385"/>
      <c r="O7" s="1388"/>
      <c r="P7" s="526" t="s">
        <v>265</v>
      </c>
      <c r="Q7" s="524" t="s">
        <v>264</v>
      </c>
      <c r="R7" s="527" t="s">
        <v>798</v>
      </c>
    </row>
    <row r="8" spans="1:18" s="18" customFormat="1" ht="13.5" customHeight="1" thickBot="1">
      <c r="A8" s="528" t="s">
        <v>267</v>
      </c>
      <c r="B8" s="529"/>
      <c r="C8" s="1394"/>
      <c r="D8" s="1394"/>
      <c r="E8" s="1394"/>
      <c r="F8" s="1394"/>
      <c r="G8" s="1394"/>
      <c r="H8" s="1396"/>
      <c r="I8" s="1399"/>
      <c r="J8" s="530" t="s">
        <v>262</v>
      </c>
      <c r="K8" s="531" t="s">
        <v>268</v>
      </c>
      <c r="L8" s="531"/>
      <c r="M8" s="531" t="s">
        <v>269</v>
      </c>
      <c r="N8" s="1386"/>
      <c r="O8" s="1389"/>
      <c r="P8" s="531" t="s">
        <v>270</v>
      </c>
      <c r="Q8" s="531" t="s">
        <v>271</v>
      </c>
      <c r="R8" s="532"/>
    </row>
    <row r="9" spans="1:18" s="19" customFormat="1" ht="12.75" customHeight="1">
      <c r="A9" s="533" t="s">
        <v>109</v>
      </c>
      <c r="B9" s="535" t="s">
        <v>356</v>
      </c>
      <c r="C9" s="535">
        <f>4!C15+4!D15+4!E15+4!I15</f>
        <v>15096</v>
      </c>
      <c r="D9" s="535">
        <f>4!C16+4!D16+4!E16+4!I16</f>
        <v>16846</v>
      </c>
      <c r="E9" s="535">
        <f aca="true" t="shared" si="0" ref="E9:E15">D9-C9</f>
        <v>1750</v>
      </c>
      <c r="F9" s="535">
        <f>5!N9</f>
        <v>93958</v>
      </c>
      <c r="G9" s="535">
        <f>5!N10</f>
        <v>89540</v>
      </c>
      <c r="H9" s="536">
        <f aca="true" t="shared" si="1" ref="H9:H15">F9-G9</f>
        <v>4418</v>
      </c>
      <c r="I9" s="537">
        <f>H9+E9</f>
        <v>6168</v>
      </c>
      <c r="J9" s="538">
        <f>5!D9-5!D10</f>
        <v>3163</v>
      </c>
      <c r="K9" s="539">
        <f>5!E9-5!E10</f>
        <v>903</v>
      </c>
      <c r="L9" s="539">
        <f>5!F9-5!F10</f>
        <v>352</v>
      </c>
      <c r="M9" s="539">
        <f>'[1](5)'!G19-'[1](5)'!G20</f>
        <v>0</v>
      </c>
      <c r="N9" s="539">
        <f>'[1](5)'!H19-'[1](5)'!H20</f>
        <v>0</v>
      </c>
      <c r="O9" s="539">
        <v>0</v>
      </c>
      <c r="P9" s="539">
        <f>5!K9-5!K10</f>
        <v>0</v>
      </c>
      <c r="Q9" s="539">
        <f>5!L9-5!L10</f>
        <v>0</v>
      </c>
      <c r="R9" s="540">
        <v>0</v>
      </c>
    </row>
    <row r="10" spans="1:18" s="16" customFormat="1" ht="12.75" customHeight="1">
      <c r="A10" s="541" t="s">
        <v>111</v>
      </c>
      <c r="B10" s="543" t="s">
        <v>489</v>
      </c>
      <c r="C10" s="543">
        <f>4!C19+4!D19+4!E19+4!G19+4!I19</f>
        <v>38881</v>
      </c>
      <c r="D10" s="543">
        <f>4!C20+4!D20+4!E20+4!G20+4!I20</f>
        <v>39034</v>
      </c>
      <c r="E10" s="543">
        <f t="shared" si="0"/>
        <v>153</v>
      </c>
      <c r="F10" s="543">
        <f>5!N13</f>
        <v>49010</v>
      </c>
      <c r="G10" s="543">
        <f>5!N14</f>
        <v>43192</v>
      </c>
      <c r="H10" s="544">
        <f t="shared" si="1"/>
        <v>5818</v>
      </c>
      <c r="I10" s="545">
        <f aca="true" t="shared" si="2" ref="I10:I16">H10+E10</f>
        <v>5971</v>
      </c>
      <c r="J10" s="546">
        <f>5!D13-5!D14</f>
        <v>1375</v>
      </c>
      <c r="K10" s="546">
        <f>5!E13-5!E14</f>
        <v>923</v>
      </c>
      <c r="L10" s="546">
        <f>5!F13-5!F14</f>
        <v>3520</v>
      </c>
      <c r="M10" s="547">
        <v>0</v>
      </c>
      <c r="N10" s="547">
        <v>0</v>
      </c>
      <c r="O10" s="547">
        <v>0</v>
      </c>
      <c r="P10" s="547">
        <f>5!K13-5!K14</f>
        <v>0</v>
      </c>
      <c r="Q10" s="547">
        <f>5!L13-5!L14</f>
        <v>0</v>
      </c>
      <c r="R10" s="548">
        <v>0</v>
      </c>
    </row>
    <row r="11" spans="1:18" s="16" customFormat="1" ht="24" customHeight="1">
      <c r="A11" s="541" t="s">
        <v>113</v>
      </c>
      <c r="B11" s="882" t="s">
        <v>799</v>
      </c>
      <c r="C11" s="543">
        <f>4!C23+4!D23+4!E23+4!I23</f>
        <v>6341</v>
      </c>
      <c r="D11" s="543">
        <f>4!C24+4!D24+4!E24+4!I24</f>
        <v>7350</v>
      </c>
      <c r="E11" s="543">
        <f t="shared" si="0"/>
        <v>1009</v>
      </c>
      <c r="F11" s="543">
        <f>5!N17</f>
        <v>118619</v>
      </c>
      <c r="G11" s="543">
        <f>5!N18</f>
        <v>110412</v>
      </c>
      <c r="H11" s="544">
        <f t="shared" si="1"/>
        <v>8207</v>
      </c>
      <c r="I11" s="545">
        <f t="shared" si="2"/>
        <v>9216</v>
      </c>
      <c r="J11" s="550">
        <f>5!D17-5!D18</f>
        <v>3058</v>
      </c>
      <c r="K11" s="550">
        <f>5!E17-5!E18</f>
        <v>956</v>
      </c>
      <c r="L11" s="550">
        <f>5!F17-5!F18</f>
        <v>4193</v>
      </c>
      <c r="M11" s="547">
        <v>0</v>
      </c>
      <c r="N11" s="547">
        <v>0</v>
      </c>
      <c r="O11" s="547">
        <v>0</v>
      </c>
      <c r="P11" s="547">
        <f>5!K17-5!K18</f>
        <v>0</v>
      </c>
      <c r="Q11" s="547">
        <f>5!L17-5!L18</f>
        <v>0</v>
      </c>
      <c r="R11" s="548">
        <v>0</v>
      </c>
    </row>
    <row r="12" spans="1:18" s="16" customFormat="1" ht="12.75" customHeight="1">
      <c r="A12" s="541" t="s">
        <v>115</v>
      </c>
      <c r="B12" s="543" t="s">
        <v>800</v>
      </c>
      <c r="C12" s="543">
        <f>4!C27+4!D27+4!E27+4!I27</f>
        <v>5454</v>
      </c>
      <c r="D12" s="543">
        <f>4!C28+4!D28+4!E28+4!I28</f>
        <v>6069</v>
      </c>
      <c r="E12" s="543">
        <f t="shared" si="0"/>
        <v>615</v>
      </c>
      <c r="F12" s="543">
        <f>5!N21</f>
        <v>28325</v>
      </c>
      <c r="G12" s="543">
        <f>5!N22</f>
        <v>27303</v>
      </c>
      <c r="H12" s="544">
        <f t="shared" si="1"/>
        <v>1022</v>
      </c>
      <c r="I12" s="545">
        <f t="shared" si="2"/>
        <v>1637</v>
      </c>
      <c r="J12" s="550">
        <f>5!D21-5!D22</f>
        <v>282</v>
      </c>
      <c r="K12" s="550">
        <f>5!E21-5!E22</f>
        <v>266</v>
      </c>
      <c r="L12" s="550">
        <f>5!F21-5!F22</f>
        <v>474</v>
      </c>
      <c r="M12" s="547">
        <v>0</v>
      </c>
      <c r="N12" s="547">
        <v>0</v>
      </c>
      <c r="O12" s="547">
        <v>0</v>
      </c>
      <c r="P12" s="547">
        <f>5!K21-5!K22</f>
        <v>0</v>
      </c>
      <c r="Q12" s="547">
        <f>5!L21-5!L22</f>
        <v>0</v>
      </c>
      <c r="R12" s="548">
        <v>0</v>
      </c>
    </row>
    <row r="13" spans="1:18" s="16" customFormat="1" ht="12.75" customHeight="1">
      <c r="A13" s="541" t="s">
        <v>117</v>
      </c>
      <c r="B13" s="543" t="s">
        <v>801</v>
      </c>
      <c r="C13" s="543">
        <f>4!C31+4!D31+4!E31+4!I31</f>
        <v>1328</v>
      </c>
      <c r="D13" s="543">
        <f>4!C32+4!D32+4!E32+4!I32</f>
        <v>1423</v>
      </c>
      <c r="E13" s="543">
        <f t="shared" si="0"/>
        <v>95</v>
      </c>
      <c r="F13" s="543">
        <f>5!N25</f>
        <v>31970</v>
      </c>
      <c r="G13" s="543">
        <f>5!N26</f>
        <v>31191</v>
      </c>
      <c r="H13" s="544">
        <f t="shared" si="1"/>
        <v>779</v>
      </c>
      <c r="I13" s="545">
        <f t="shared" si="2"/>
        <v>874</v>
      </c>
      <c r="J13" s="550">
        <f>5!D25-5!D26</f>
        <v>93</v>
      </c>
      <c r="K13" s="550">
        <f>5!E25-5!E26</f>
        <v>142</v>
      </c>
      <c r="L13" s="550">
        <f>5!F25-5!F26</f>
        <v>544</v>
      </c>
      <c r="M13" s="547">
        <v>0</v>
      </c>
      <c r="N13" s="547">
        <v>0</v>
      </c>
      <c r="O13" s="547">
        <v>0</v>
      </c>
      <c r="P13" s="547">
        <f>5!K25-5!K26</f>
        <v>0</v>
      </c>
      <c r="Q13" s="547">
        <f>5!L25-5!L26</f>
        <v>0</v>
      </c>
      <c r="R13" s="548">
        <v>0</v>
      </c>
    </row>
    <row r="14" spans="1:18" s="16" customFormat="1" ht="22.5" customHeight="1">
      <c r="A14" s="541" t="s">
        <v>119</v>
      </c>
      <c r="B14" s="882" t="s">
        <v>248</v>
      </c>
      <c r="C14" s="543">
        <f>4!C35+4!D35+4!E35+4!I35</f>
        <v>5909</v>
      </c>
      <c r="D14" s="543">
        <f>4!C36+4!D36+4!E36+4!I36</f>
        <v>5978</v>
      </c>
      <c r="E14" s="543">
        <f t="shared" si="0"/>
        <v>69</v>
      </c>
      <c r="F14" s="543">
        <f>5!N29</f>
        <v>27186</v>
      </c>
      <c r="G14" s="543">
        <f>5!N30</f>
        <v>23437</v>
      </c>
      <c r="H14" s="544">
        <f t="shared" si="1"/>
        <v>3749</v>
      </c>
      <c r="I14" s="545">
        <f t="shared" si="2"/>
        <v>3818</v>
      </c>
      <c r="J14" s="550">
        <f>5!D29-5!D30</f>
        <v>434</v>
      </c>
      <c r="K14" s="550">
        <f>5!E29-5!E30</f>
        <v>158</v>
      </c>
      <c r="L14" s="550">
        <f>5!F29-5!F30</f>
        <v>2970</v>
      </c>
      <c r="M14" s="547">
        <v>0</v>
      </c>
      <c r="N14" s="547">
        <v>0</v>
      </c>
      <c r="O14" s="547">
        <v>0</v>
      </c>
      <c r="P14" s="547">
        <f>5!K29-5!K30</f>
        <v>187</v>
      </c>
      <c r="Q14" s="547">
        <f>5!L29-5!L30</f>
        <v>0</v>
      </c>
      <c r="R14" s="548">
        <v>0</v>
      </c>
    </row>
    <row r="15" spans="1:18" s="16" customFormat="1" ht="19.5" customHeight="1" thickBot="1">
      <c r="A15" s="541" t="s">
        <v>121</v>
      </c>
      <c r="B15" s="882" t="s">
        <v>249</v>
      </c>
      <c r="C15" s="543">
        <f>4!C39+4!D39+4!E39+4!I39</f>
        <v>1864</v>
      </c>
      <c r="D15" s="543">
        <f>4!C40+4!D40+4!E40+4!I40</f>
        <v>2130</v>
      </c>
      <c r="E15" s="543">
        <f t="shared" si="0"/>
        <v>266</v>
      </c>
      <c r="F15" s="543">
        <f>5!N33</f>
        <v>186671</v>
      </c>
      <c r="G15" s="543">
        <f>5!N34</f>
        <v>180568</v>
      </c>
      <c r="H15" s="544">
        <f t="shared" si="1"/>
        <v>6103</v>
      </c>
      <c r="I15" s="545">
        <f t="shared" si="2"/>
        <v>6369</v>
      </c>
      <c r="J15" s="550">
        <f>5!D33-5!D34</f>
        <v>3240</v>
      </c>
      <c r="K15" s="550">
        <f>5!E33-5!E34</f>
        <v>462</v>
      </c>
      <c r="L15" s="550">
        <f>5!F33-5!F34</f>
        <v>2364</v>
      </c>
      <c r="M15" s="547">
        <v>0</v>
      </c>
      <c r="N15" s="547">
        <v>0</v>
      </c>
      <c r="O15" s="547">
        <v>0</v>
      </c>
      <c r="P15" s="547">
        <f>5!K33-5!K34</f>
        <v>37</v>
      </c>
      <c r="Q15" s="547">
        <f>5!L33-5!L34</f>
        <v>0</v>
      </c>
      <c r="R15" s="548">
        <v>0</v>
      </c>
    </row>
    <row r="16" spans="1:18" s="556" customFormat="1" ht="12.75" customHeight="1" thickBot="1">
      <c r="A16" s="1400" t="s">
        <v>668</v>
      </c>
      <c r="B16" s="1401"/>
      <c r="C16" s="552">
        <f aca="true" t="shared" si="3" ref="C16:H16">SUM(C9:C15)</f>
        <v>74873</v>
      </c>
      <c r="D16" s="552">
        <f t="shared" si="3"/>
        <v>78830</v>
      </c>
      <c r="E16" s="552">
        <f t="shared" si="3"/>
        <v>3957</v>
      </c>
      <c r="F16" s="552">
        <f t="shared" si="3"/>
        <v>535739</v>
      </c>
      <c r="G16" s="552">
        <f t="shared" si="3"/>
        <v>505643</v>
      </c>
      <c r="H16" s="552">
        <f t="shared" si="3"/>
        <v>30096</v>
      </c>
      <c r="I16" s="553">
        <f t="shared" si="2"/>
        <v>34053</v>
      </c>
      <c r="J16" s="554">
        <f>SUM(J9:J15)</f>
        <v>11645</v>
      </c>
      <c r="K16" s="554">
        <f aca="true" t="shared" si="4" ref="K16:R16">SUM(K9:K15)</f>
        <v>3810</v>
      </c>
      <c r="L16" s="554">
        <f t="shared" si="4"/>
        <v>14417</v>
      </c>
      <c r="M16" s="554">
        <f t="shared" si="4"/>
        <v>0</v>
      </c>
      <c r="N16" s="554">
        <f t="shared" si="4"/>
        <v>0</v>
      </c>
      <c r="O16" s="554">
        <f t="shared" si="4"/>
        <v>0</v>
      </c>
      <c r="P16" s="554">
        <f t="shared" si="4"/>
        <v>224</v>
      </c>
      <c r="Q16" s="554">
        <f t="shared" si="4"/>
        <v>0</v>
      </c>
      <c r="R16" s="555">
        <f t="shared" si="4"/>
        <v>0</v>
      </c>
    </row>
    <row r="17" spans="1:18" ht="6" customHeight="1">
      <c r="A17" s="1403"/>
      <c r="B17" s="1404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8"/>
    </row>
    <row r="18" spans="1:18" ht="12.75">
      <c r="A18" s="1405" t="s">
        <v>655</v>
      </c>
      <c r="B18" s="1406"/>
      <c r="C18" s="559">
        <f>3!F493</f>
        <v>2881279</v>
      </c>
      <c r="D18" s="559">
        <f>3!F494</f>
        <v>1801849</v>
      </c>
      <c r="E18" s="559">
        <f>D18-C18</f>
        <v>-1079430</v>
      </c>
      <c r="F18" s="559">
        <f>5!N621</f>
        <v>2420413</v>
      </c>
      <c r="G18" s="559">
        <f>5!N622</f>
        <v>1332921</v>
      </c>
      <c r="H18" s="559">
        <f>F18-G18</f>
        <v>1087492</v>
      </c>
      <c r="I18" s="559">
        <f>E18+H18</f>
        <v>8062</v>
      </c>
      <c r="J18" s="559">
        <f>5!D621-5!D622</f>
        <v>22635</v>
      </c>
      <c r="K18" s="559">
        <f>5!E621-5!E622</f>
        <v>6898</v>
      </c>
      <c r="L18" s="559">
        <f>5!F621-5!F622</f>
        <v>83183</v>
      </c>
      <c r="M18" s="559">
        <f>'[1](5)'!G687-'[1](5)'!G688</f>
        <v>0</v>
      </c>
      <c r="N18" s="559">
        <f>5!H621-5!H622</f>
        <v>28903</v>
      </c>
      <c r="O18" s="559">
        <f>5!I621-5!I622</f>
        <v>12557</v>
      </c>
      <c r="P18" s="559">
        <f>5!K621-5!K622</f>
        <v>608391</v>
      </c>
      <c r="Q18" s="559">
        <f>5!L621-5!L622</f>
        <v>11241</v>
      </c>
      <c r="R18" s="560">
        <f>5!M621-5!M622</f>
        <v>313684</v>
      </c>
    </row>
    <row r="19" spans="1:18" ht="35.25" customHeight="1">
      <c r="A19" s="1409" t="s">
        <v>667</v>
      </c>
      <c r="B19" s="1410"/>
      <c r="C19" s="559">
        <f aca="true" t="shared" si="5" ref="C19:R19">C16+C18</f>
        <v>2956152</v>
      </c>
      <c r="D19" s="559">
        <f t="shared" si="5"/>
        <v>1880679</v>
      </c>
      <c r="E19" s="559">
        <f t="shared" si="5"/>
        <v>-1075473</v>
      </c>
      <c r="F19" s="559">
        <f t="shared" si="5"/>
        <v>2956152</v>
      </c>
      <c r="G19" s="559">
        <f t="shared" si="5"/>
        <v>1838564</v>
      </c>
      <c r="H19" s="559">
        <f t="shared" si="5"/>
        <v>1117588</v>
      </c>
      <c r="I19" s="559">
        <f t="shared" si="5"/>
        <v>42115</v>
      </c>
      <c r="J19" s="559">
        <f t="shared" si="5"/>
        <v>34280</v>
      </c>
      <c r="K19" s="559">
        <f t="shared" si="5"/>
        <v>10708</v>
      </c>
      <c r="L19" s="559">
        <f t="shared" si="5"/>
        <v>97600</v>
      </c>
      <c r="M19" s="559">
        <f t="shared" si="5"/>
        <v>0</v>
      </c>
      <c r="N19" s="559">
        <f t="shared" si="5"/>
        <v>28903</v>
      </c>
      <c r="O19" s="559">
        <f t="shared" si="5"/>
        <v>12557</v>
      </c>
      <c r="P19" s="559">
        <f t="shared" si="5"/>
        <v>608615</v>
      </c>
      <c r="Q19" s="559">
        <f t="shared" si="5"/>
        <v>11241</v>
      </c>
      <c r="R19" s="560">
        <f t="shared" si="5"/>
        <v>313684</v>
      </c>
    </row>
    <row r="20" spans="1:18" ht="15" customHeight="1">
      <c r="A20" s="1409" t="s">
        <v>377</v>
      </c>
      <c r="B20" s="1413"/>
      <c r="C20" s="559"/>
      <c r="D20" s="559"/>
      <c r="E20" s="559"/>
      <c r="F20" s="559"/>
      <c r="G20" s="559"/>
      <c r="H20" s="559"/>
      <c r="I20" s="559">
        <v>919818</v>
      </c>
      <c r="J20" s="559"/>
      <c r="K20" s="559"/>
      <c r="L20" s="559"/>
      <c r="M20" s="559"/>
      <c r="N20" s="559"/>
      <c r="O20" s="559"/>
      <c r="P20" s="559"/>
      <c r="Q20" s="559"/>
      <c r="R20" s="560"/>
    </row>
    <row r="21" spans="1:18" ht="12.75">
      <c r="A21" s="1411" t="s">
        <v>378</v>
      </c>
      <c r="B21" s="1412"/>
      <c r="C21" s="561"/>
      <c r="D21" s="561"/>
      <c r="E21" s="561"/>
      <c r="F21" s="561"/>
      <c r="G21" s="561"/>
      <c r="H21" s="561"/>
      <c r="I21" s="559">
        <v>867571</v>
      </c>
      <c r="J21" s="561"/>
      <c r="K21" s="561"/>
      <c r="L21" s="561"/>
      <c r="M21" s="561"/>
      <c r="N21" s="561"/>
      <c r="O21" s="561"/>
      <c r="P21" s="561"/>
      <c r="Q21" s="561"/>
      <c r="R21" s="562"/>
    </row>
    <row r="22" spans="1:18" ht="12.75">
      <c r="A22" s="1411" t="s">
        <v>379</v>
      </c>
      <c r="B22" s="1412"/>
      <c r="C22" s="561"/>
      <c r="D22" s="561"/>
      <c r="E22" s="561"/>
      <c r="F22" s="561"/>
      <c r="G22" s="561"/>
      <c r="H22" s="561"/>
      <c r="I22" s="559">
        <f>-6678-4432</f>
        <v>-11110</v>
      </c>
      <c r="J22" s="561"/>
      <c r="K22" s="561"/>
      <c r="L22" s="561"/>
      <c r="M22" s="561"/>
      <c r="N22" s="561"/>
      <c r="O22" s="561"/>
      <c r="P22" s="561"/>
      <c r="Q22" s="561"/>
      <c r="R22" s="562"/>
    </row>
    <row r="23" spans="1:18" ht="12.75">
      <c r="A23" s="1411" t="s">
        <v>380</v>
      </c>
      <c r="B23" s="1412"/>
      <c r="C23" s="561"/>
      <c r="D23" s="561"/>
      <c r="E23" s="561"/>
      <c r="F23" s="561"/>
      <c r="G23" s="561"/>
      <c r="H23" s="561"/>
      <c r="I23" s="559">
        <f>I20-I21+I22</f>
        <v>41137</v>
      </c>
      <c r="J23" s="561"/>
      <c r="K23" s="561"/>
      <c r="L23" s="561"/>
      <c r="M23" s="561"/>
      <c r="N23" s="561"/>
      <c r="O23" s="561"/>
      <c r="P23" s="561"/>
      <c r="Q23" s="561"/>
      <c r="R23" s="562"/>
    </row>
    <row r="24" spans="1:18" ht="12.75">
      <c r="A24" s="1405" t="s">
        <v>656</v>
      </c>
      <c r="B24" s="1406"/>
      <c r="C24" s="563"/>
      <c r="D24" s="563"/>
      <c r="E24" s="563"/>
      <c r="F24" s="563"/>
      <c r="G24" s="563"/>
      <c r="H24" s="563"/>
      <c r="I24" s="559">
        <v>1714</v>
      </c>
      <c r="J24" s="563"/>
      <c r="K24" s="563"/>
      <c r="L24" s="563"/>
      <c r="M24" s="563"/>
      <c r="N24" s="563"/>
      <c r="O24" s="563"/>
      <c r="P24" s="563"/>
      <c r="Q24" s="563"/>
      <c r="R24" s="564"/>
    </row>
    <row r="25" spans="1:18" ht="13.5" thickBot="1">
      <c r="A25" s="1407" t="s">
        <v>657</v>
      </c>
      <c r="B25" s="1408"/>
      <c r="C25" s="565"/>
      <c r="D25" s="565"/>
      <c r="E25" s="565"/>
      <c r="F25" s="565"/>
      <c r="G25" s="565"/>
      <c r="H25" s="565"/>
      <c r="I25" s="566">
        <f>I23+I24</f>
        <v>42851</v>
      </c>
      <c r="J25" s="565"/>
      <c r="K25" s="565"/>
      <c r="L25" s="565"/>
      <c r="M25" s="565"/>
      <c r="N25" s="565"/>
      <c r="O25" s="565"/>
      <c r="P25" s="565"/>
      <c r="Q25" s="565"/>
      <c r="R25" s="567"/>
    </row>
    <row r="26" spans="1:18" ht="12.75">
      <c r="A26" s="568"/>
      <c r="B26" s="568"/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</row>
    <row r="27" ht="12.75">
      <c r="I27" s="447"/>
    </row>
    <row r="28" spans="9:12" ht="12.75">
      <c r="I28" t="s">
        <v>314</v>
      </c>
      <c r="L28" s="447" t="s">
        <v>314</v>
      </c>
    </row>
    <row r="29" ht="12.75">
      <c r="I29" s="447" t="s">
        <v>314</v>
      </c>
    </row>
  </sheetData>
  <sheetProtection/>
  <mergeCells count="21">
    <mergeCell ref="A24:B24"/>
    <mergeCell ref="A25:B25"/>
    <mergeCell ref="A18:B18"/>
    <mergeCell ref="A19:B19"/>
    <mergeCell ref="A23:B23"/>
    <mergeCell ref="A21:B21"/>
    <mergeCell ref="A22:B22"/>
    <mergeCell ref="A20:B20"/>
    <mergeCell ref="A16:B16"/>
    <mergeCell ref="C6:E6"/>
    <mergeCell ref="C7:C8"/>
    <mergeCell ref="D7:D8"/>
    <mergeCell ref="E7:E8"/>
    <mergeCell ref="A17:B17"/>
    <mergeCell ref="N6:N8"/>
    <mergeCell ref="O6:O8"/>
    <mergeCell ref="F6:H6"/>
    <mergeCell ref="F7:F8"/>
    <mergeCell ref="G7:G8"/>
    <mergeCell ref="H7:H8"/>
    <mergeCell ref="I6:I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N73"/>
  <sheetViews>
    <sheetView view="pageBreakPreview" zoomScale="115" zoomScaleSheetLayoutView="115" zoomScalePageLayoutView="0" workbookViewId="0" topLeftCell="A51">
      <selection activeCell="F57" sqref="F57"/>
    </sheetView>
  </sheetViews>
  <sheetFormatPr defaultColWidth="9.00390625" defaultRowHeight="12.75" customHeight="1"/>
  <cols>
    <col min="1" max="1" width="4.00390625" style="15" customWidth="1"/>
    <col min="2" max="2" width="3.00390625" style="16" customWidth="1"/>
    <col min="3" max="3" width="39.75390625" style="569" customWidth="1"/>
    <col min="4" max="4" width="7.125" style="569" customWidth="1"/>
    <col min="5" max="5" width="7.75390625" style="569" customWidth="1"/>
    <col min="6" max="6" width="6.875" style="569" customWidth="1"/>
    <col min="7" max="7" width="6.625" style="569" customWidth="1"/>
    <col min="8" max="8" width="7.875" style="569" bestFit="1" customWidth="1"/>
    <col min="9" max="9" width="7.875" style="569" customWidth="1"/>
    <col min="10" max="10" width="9.375" style="570" bestFit="1" customWidth="1"/>
    <col min="11" max="11" width="7.375" style="569" customWidth="1"/>
    <col min="12" max="12" width="9.25390625" style="569" customWidth="1"/>
    <col min="13" max="13" width="6.875" style="569" customWidth="1"/>
    <col min="14" max="14" width="9.75390625" style="570" customWidth="1"/>
    <col min="15" max="16384" width="9.125" style="16" customWidth="1"/>
  </cols>
  <sheetData>
    <row r="5" ht="12.75" customHeight="1" thickBot="1">
      <c r="N5" s="570" t="s">
        <v>94</v>
      </c>
    </row>
    <row r="6" spans="1:14" s="18" customFormat="1" ht="12.75" customHeight="1">
      <c r="A6" s="1441" t="s">
        <v>235</v>
      </c>
      <c r="B6" s="1442"/>
      <c r="C6" s="517" t="s">
        <v>250</v>
      </c>
      <c r="D6" s="519" t="s">
        <v>251</v>
      </c>
      <c r="E6" s="519" t="s">
        <v>252</v>
      </c>
      <c r="F6" s="519" t="s">
        <v>253</v>
      </c>
      <c r="G6" s="519" t="s">
        <v>254</v>
      </c>
      <c r="H6" s="1384" t="s">
        <v>339</v>
      </c>
      <c r="I6" s="1387" t="s">
        <v>335</v>
      </c>
      <c r="J6" s="519" t="s">
        <v>135</v>
      </c>
      <c r="K6" s="519" t="s">
        <v>255</v>
      </c>
      <c r="L6" s="519" t="s">
        <v>256</v>
      </c>
      <c r="M6" s="519"/>
      <c r="N6" s="521" t="s">
        <v>151</v>
      </c>
    </row>
    <row r="7" spans="1:14" s="18" customFormat="1" ht="12.75" customHeight="1">
      <c r="A7" s="1443" t="s">
        <v>258</v>
      </c>
      <c r="B7" s="1444"/>
      <c r="C7" s="523" t="s">
        <v>259</v>
      </c>
      <c r="D7" s="526" t="s">
        <v>260</v>
      </c>
      <c r="E7" s="526" t="s">
        <v>261</v>
      </c>
      <c r="F7" s="526" t="s">
        <v>262</v>
      </c>
      <c r="G7" s="526" t="s">
        <v>263</v>
      </c>
      <c r="H7" s="1385"/>
      <c r="I7" s="1388"/>
      <c r="J7" s="526" t="s">
        <v>264</v>
      </c>
      <c r="K7" s="526" t="s">
        <v>265</v>
      </c>
      <c r="L7" s="526" t="s">
        <v>264</v>
      </c>
      <c r="M7" s="526" t="s">
        <v>133</v>
      </c>
      <c r="N7" s="571" t="s">
        <v>108</v>
      </c>
    </row>
    <row r="8" spans="1:14" s="18" customFormat="1" ht="12.75" customHeight="1" thickBot="1">
      <c r="A8" s="1445" t="s">
        <v>267</v>
      </c>
      <c r="B8" s="1446"/>
      <c r="C8" s="529"/>
      <c r="D8" s="531" t="s">
        <v>262</v>
      </c>
      <c r="E8" s="531" t="s">
        <v>268</v>
      </c>
      <c r="F8" s="531"/>
      <c r="G8" s="531" t="s">
        <v>269</v>
      </c>
      <c r="H8" s="1386"/>
      <c r="I8" s="1389"/>
      <c r="J8" s="531" t="s">
        <v>108</v>
      </c>
      <c r="K8" s="531" t="s">
        <v>270</v>
      </c>
      <c r="L8" s="531" t="s">
        <v>271</v>
      </c>
      <c r="M8" s="531"/>
      <c r="N8" s="532"/>
    </row>
    <row r="9" spans="1:14" s="19" customFormat="1" ht="12.75" customHeight="1">
      <c r="A9" s="533" t="s">
        <v>109</v>
      </c>
      <c r="B9" s="572"/>
      <c r="C9" s="534" t="s">
        <v>356</v>
      </c>
      <c r="D9" s="539">
        <v>106</v>
      </c>
      <c r="E9" s="539">
        <v>0</v>
      </c>
      <c r="F9" s="539">
        <v>0</v>
      </c>
      <c r="G9" s="539">
        <v>0</v>
      </c>
      <c r="H9" s="539">
        <v>0</v>
      </c>
      <c r="I9" s="539">
        <v>0</v>
      </c>
      <c r="J9" s="539">
        <f aca="true" t="shared" si="0" ref="J9:J15">SUM(D9:I9)</f>
        <v>106</v>
      </c>
      <c r="K9" s="539">
        <v>0</v>
      </c>
      <c r="L9" s="539">
        <v>0</v>
      </c>
      <c r="M9" s="539">
        <v>0</v>
      </c>
      <c r="N9" s="540">
        <f aca="true" t="shared" si="1" ref="N9:N14">SUM(J9:M9)</f>
        <v>106</v>
      </c>
    </row>
    <row r="10" spans="1:14" ht="12.75" customHeight="1">
      <c r="A10" s="541" t="s">
        <v>111</v>
      </c>
      <c r="B10" s="573"/>
      <c r="C10" s="542" t="s">
        <v>489</v>
      </c>
      <c r="D10" s="543"/>
      <c r="E10" s="547"/>
      <c r="F10" s="547"/>
      <c r="G10" s="547"/>
      <c r="H10" s="547"/>
      <c r="I10" s="547">
        <v>0</v>
      </c>
      <c r="J10" s="547">
        <f t="shared" si="0"/>
        <v>0</v>
      </c>
      <c r="K10" s="547">
        <v>0</v>
      </c>
      <c r="L10" s="547">
        <v>0</v>
      </c>
      <c r="M10" s="547">
        <v>0</v>
      </c>
      <c r="N10" s="548">
        <f t="shared" si="1"/>
        <v>0</v>
      </c>
    </row>
    <row r="11" spans="1:14" ht="12.75" customHeight="1">
      <c r="A11" s="541" t="s">
        <v>113</v>
      </c>
      <c r="B11" s="573"/>
      <c r="C11" s="542" t="s">
        <v>799</v>
      </c>
      <c r="D11" s="547">
        <v>28</v>
      </c>
      <c r="E11" s="547"/>
      <c r="F11" s="547"/>
      <c r="G11" s="547"/>
      <c r="H11" s="547"/>
      <c r="I11" s="547">
        <v>0</v>
      </c>
      <c r="J11" s="547">
        <f t="shared" si="0"/>
        <v>28</v>
      </c>
      <c r="K11" s="547">
        <v>0</v>
      </c>
      <c r="L11" s="547">
        <v>0</v>
      </c>
      <c r="M11" s="547">
        <v>0</v>
      </c>
      <c r="N11" s="548">
        <f t="shared" si="1"/>
        <v>28</v>
      </c>
    </row>
    <row r="12" spans="1:14" ht="12.75" customHeight="1">
      <c r="A12" s="541" t="s">
        <v>115</v>
      </c>
      <c r="B12" s="573"/>
      <c r="C12" s="542" t="s">
        <v>800</v>
      </c>
      <c r="D12" s="547"/>
      <c r="E12" s="547"/>
      <c r="F12" s="547">
        <v>450</v>
      </c>
      <c r="G12" s="547"/>
      <c r="H12" s="547"/>
      <c r="I12" s="547">
        <v>0</v>
      </c>
      <c r="J12" s="547">
        <f t="shared" si="0"/>
        <v>450</v>
      </c>
      <c r="K12" s="547">
        <v>0</v>
      </c>
      <c r="L12" s="547">
        <v>0</v>
      </c>
      <c r="M12" s="547">
        <v>0</v>
      </c>
      <c r="N12" s="548">
        <f t="shared" si="1"/>
        <v>450</v>
      </c>
    </row>
    <row r="13" spans="1:14" ht="12.75" customHeight="1">
      <c r="A13" s="541" t="s">
        <v>117</v>
      </c>
      <c r="B13" s="573"/>
      <c r="C13" s="542" t="s">
        <v>801</v>
      </c>
      <c r="D13" s="547">
        <v>230</v>
      </c>
      <c r="E13" s="547"/>
      <c r="F13" s="547"/>
      <c r="G13" s="547"/>
      <c r="H13" s="547"/>
      <c r="I13" s="547">
        <v>0</v>
      </c>
      <c r="J13" s="547">
        <f t="shared" si="0"/>
        <v>230</v>
      </c>
      <c r="K13" s="547">
        <v>0</v>
      </c>
      <c r="L13" s="547">
        <v>0</v>
      </c>
      <c r="M13" s="547">
        <v>0</v>
      </c>
      <c r="N13" s="548">
        <f>SUM(J13:M13)</f>
        <v>230</v>
      </c>
    </row>
    <row r="14" spans="1:14" ht="12.75" customHeight="1">
      <c r="A14" s="541" t="s">
        <v>119</v>
      </c>
      <c r="B14" s="573"/>
      <c r="C14" s="542" t="s">
        <v>248</v>
      </c>
      <c r="D14" s="547">
        <v>906</v>
      </c>
      <c r="E14" s="547"/>
      <c r="F14" s="547"/>
      <c r="G14" s="547"/>
      <c r="H14" s="547"/>
      <c r="I14" s="547">
        <v>0</v>
      </c>
      <c r="J14" s="547">
        <f t="shared" si="0"/>
        <v>906</v>
      </c>
      <c r="K14" s="547">
        <v>187</v>
      </c>
      <c r="L14" s="547">
        <v>0</v>
      </c>
      <c r="M14" s="547">
        <v>0</v>
      </c>
      <c r="N14" s="548">
        <f t="shared" si="1"/>
        <v>1093</v>
      </c>
    </row>
    <row r="15" spans="1:14" ht="12.75" customHeight="1">
      <c r="A15" s="541" t="s">
        <v>121</v>
      </c>
      <c r="B15" s="573"/>
      <c r="C15" s="542" t="s">
        <v>249</v>
      </c>
      <c r="D15" s="547">
        <v>2380</v>
      </c>
      <c r="E15" s="547">
        <v>177</v>
      </c>
      <c r="F15" s="547">
        <v>2138</v>
      </c>
      <c r="G15" s="547"/>
      <c r="H15" s="547"/>
      <c r="I15" s="547">
        <v>0</v>
      </c>
      <c r="J15" s="547">
        <f t="shared" si="0"/>
        <v>4695</v>
      </c>
      <c r="K15" s="547">
        <v>37</v>
      </c>
      <c r="L15" s="547">
        <v>0</v>
      </c>
      <c r="M15" s="547">
        <v>0</v>
      </c>
      <c r="N15" s="548">
        <f>SUM(J15:M15)</f>
        <v>4732</v>
      </c>
    </row>
    <row r="16" spans="1:14" ht="21" customHeight="1">
      <c r="A16" s="541" t="s">
        <v>140</v>
      </c>
      <c r="B16" s="573"/>
      <c r="C16" s="577" t="s">
        <v>320</v>
      </c>
      <c r="D16" s="578">
        <f>SUM(D9:D15)</f>
        <v>3650</v>
      </c>
      <c r="E16" s="578">
        <f aca="true" t="shared" si="2" ref="E16:M16">SUM(E9:E15)</f>
        <v>177</v>
      </c>
      <c r="F16" s="578">
        <f t="shared" si="2"/>
        <v>2588</v>
      </c>
      <c r="G16" s="578">
        <f t="shared" si="2"/>
        <v>0</v>
      </c>
      <c r="H16" s="578">
        <f t="shared" si="2"/>
        <v>0</v>
      </c>
      <c r="I16" s="578">
        <f t="shared" si="2"/>
        <v>0</v>
      </c>
      <c r="J16" s="578">
        <f t="shared" si="2"/>
        <v>6415</v>
      </c>
      <c r="K16" s="578">
        <f t="shared" si="2"/>
        <v>224</v>
      </c>
      <c r="L16" s="578">
        <f>SUM(L9:L15)</f>
        <v>0</v>
      </c>
      <c r="M16" s="578">
        <f t="shared" si="2"/>
        <v>0</v>
      </c>
      <c r="N16" s="579">
        <f>SUM(N9:N15)</f>
        <v>6639</v>
      </c>
    </row>
    <row r="17" spans="1:14" ht="12.75" customHeight="1">
      <c r="A17" s="574" t="s">
        <v>142</v>
      </c>
      <c r="B17" s="575"/>
      <c r="C17" s="580" t="s">
        <v>802</v>
      </c>
      <c r="D17" s="581" t="e">
        <f>#REF!</f>
        <v>#REF!</v>
      </c>
      <c r="E17" s="581" t="e">
        <f>#REF!</f>
        <v>#REF!</v>
      </c>
      <c r="F17" s="581" t="e">
        <f>#REF!</f>
        <v>#REF!</v>
      </c>
      <c r="G17" s="581">
        <v>0</v>
      </c>
      <c r="H17" s="581">
        <v>0</v>
      </c>
      <c r="I17" s="581">
        <v>0</v>
      </c>
      <c r="J17" s="581" t="e">
        <f>SUM(D17:I17)</f>
        <v>#REF!</v>
      </c>
      <c r="K17" s="581">
        <v>0</v>
      </c>
      <c r="L17" s="581">
        <v>0</v>
      </c>
      <c r="M17" s="581">
        <v>0</v>
      </c>
      <c r="N17" s="582" t="e">
        <f>SUM(J17:M17)</f>
        <v>#REF!</v>
      </c>
    </row>
    <row r="18" spans="1:14" ht="12.75" customHeight="1" thickBot="1">
      <c r="A18" s="583" t="s">
        <v>159</v>
      </c>
      <c r="B18" s="584"/>
      <c r="C18" s="585" t="s">
        <v>2</v>
      </c>
      <c r="D18" s="586">
        <v>0</v>
      </c>
      <c r="E18" s="586">
        <v>0</v>
      </c>
      <c r="F18" s="586">
        <v>0</v>
      </c>
      <c r="G18" s="586">
        <v>0</v>
      </c>
      <c r="H18" s="586">
        <v>0</v>
      </c>
      <c r="I18" s="586">
        <v>0</v>
      </c>
      <c r="J18" s="586">
        <v>3906</v>
      </c>
      <c r="K18" s="586">
        <v>0</v>
      </c>
      <c r="L18" s="586">
        <v>0</v>
      </c>
      <c r="M18" s="586">
        <v>0</v>
      </c>
      <c r="N18" s="587">
        <v>-371</v>
      </c>
    </row>
    <row r="19" spans="1:14" ht="12.75" customHeight="1" thickBot="1">
      <c r="A19" s="1439" t="s">
        <v>803</v>
      </c>
      <c r="B19" s="1440"/>
      <c r="C19" s="1440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5" t="e">
        <f>N16+N17+N18+J18</f>
        <v>#REF!</v>
      </c>
    </row>
    <row r="20" spans="1:14" ht="12.75" customHeight="1">
      <c r="A20" s="588" t="s">
        <v>122</v>
      </c>
      <c r="B20" s="589"/>
      <c r="C20" s="590" t="s">
        <v>272</v>
      </c>
      <c r="D20" s="591">
        <f aca="true" t="shared" si="3" ref="D20:N20">SUM(D21:D21)</f>
        <v>0</v>
      </c>
      <c r="E20" s="591">
        <f t="shared" si="3"/>
        <v>0</v>
      </c>
      <c r="F20" s="590">
        <f t="shared" si="3"/>
        <v>1827</v>
      </c>
      <c r="G20" s="591">
        <f t="shared" si="3"/>
        <v>0</v>
      </c>
      <c r="H20" s="591">
        <f t="shared" si="3"/>
        <v>0</v>
      </c>
      <c r="I20" s="591">
        <f t="shared" si="3"/>
        <v>0</v>
      </c>
      <c r="J20" s="591">
        <f t="shared" si="3"/>
        <v>1827</v>
      </c>
      <c r="K20" s="591">
        <f t="shared" si="3"/>
        <v>0</v>
      </c>
      <c r="L20" s="591">
        <f t="shared" si="3"/>
        <v>0</v>
      </c>
      <c r="M20" s="591">
        <f t="shared" si="3"/>
        <v>0</v>
      </c>
      <c r="N20" s="590">
        <f t="shared" si="3"/>
        <v>1827</v>
      </c>
    </row>
    <row r="21" spans="1:14" ht="12.75" customHeight="1" thickBot="1">
      <c r="A21" s="583"/>
      <c r="B21" s="594" t="s">
        <v>111</v>
      </c>
      <c r="C21" s="600" t="s">
        <v>358</v>
      </c>
      <c r="D21" s="599"/>
      <c r="E21" s="599"/>
      <c r="F21" s="924">
        <v>1827</v>
      </c>
      <c r="G21" s="599"/>
      <c r="H21" s="599"/>
      <c r="I21" s="599">
        <v>0</v>
      </c>
      <c r="J21" s="586">
        <f>SUM(D21:I21)</f>
        <v>1827</v>
      </c>
      <c r="K21" s="599">
        <v>0</v>
      </c>
      <c r="L21" s="599">
        <v>0</v>
      </c>
      <c r="M21" s="599">
        <v>0</v>
      </c>
      <c r="N21" s="925">
        <f>SUM(J21:M21)</f>
        <v>1827</v>
      </c>
    </row>
    <row r="22" spans="1:14" ht="12" customHeight="1">
      <c r="A22" s="588" t="s">
        <v>124</v>
      </c>
      <c r="B22" s="589"/>
      <c r="C22" s="590" t="s">
        <v>273</v>
      </c>
      <c r="D22" s="591">
        <f>D23</f>
        <v>0</v>
      </c>
      <c r="E22" s="591">
        <f aca="true" t="shared" si="4" ref="E22:J22">E23</f>
        <v>0</v>
      </c>
      <c r="F22" s="591">
        <f t="shared" si="4"/>
        <v>0</v>
      </c>
      <c r="G22" s="591">
        <f t="shared" si="4"/>
        <v>0</v>
      </c>
      <c r="H22" s="591">
        <f t="shared" si="4"/>
        <v>0</v>
      </c>
      <c r="I22" s="591">
        <f t="shared" si="4"/>
        <v>0</v>
      </c>
      <c r="J22" s="591">
        <f t="shared" si="4"/>
        <v>0</v>
      </c>
      <c r="K22" s="591">
        <f>K23</f>
        <v>46376</v>
      </c>
      <c r="L22" s="591">
        <f>L23</f>
        <v>0</v>
      </c>
      <c r="M22" s="591">
        <f>M23</f>
        <v>0</v>
      </c>
      <c r="N22" s="591">
        <f>N23</f>
        <v>46376</v>
      </c>
    </row>
    <row r="23" spans="1:14" ht="12.75" customHeight="1" thickBot="1">
      <c r="A23" s="583"/>
      <c r="B23" s="594" t="s">
        <v>109</v>
      </c>
      <c r="C23" s="600" t="s">
        <v>274</v>
      </c>
      <c r="D23" s="599">
        <v>0</v>
      </c>
      <c r="E23" s="599">
        <v>0</v>
      </c>
      <c r="F23" s="924">
        <v>0</v>
      </c>
      <c r="G23" s="599">
        <v>0</v>
      </c>
      <c r="H23" s="599">
        <v>0</v>
      </c>
      <c r="I23" s="599">
        <v>0</v>
      </c>
      <c r="J23" s="586">
        <f>SUM(D23:I23)</f>
        <v>0</v>
      </c>
      <c r="K23" s="599">
        <f>4792+53+48+15927+25556</f>
        <v>46376</v>
      </c>
      <c r="L23" s="599">
        <v>0</v>
      </c>
      <c r="M23" s="599">
        <v>0</v>
      </c>
      <c r="N23" s="925">
        <f>J23+K23+L23+M23</f>
        <v>46376</v>
      </c>
    </row>
    <row r="24" spans="1:14" ht="11.25" customHeight="1">
      <c r="A24" s="588" t="s">
        <v>127</v>
      </c>
      <c r="B24" s="589"/>
      <c r="C24" s="590" t="s">
        <v>278</v>
      </c>
      <c r="D24" s="591">
        <f aca="true" t="shared" si="5" ref="D24:I24">SUM(D25:D27)</f>
        <v>0</v>
      </c>
      <c r="E24" s="591">
        <f t="shared" si="5"/>
        <v>0</v>
      </c>
      <c r="F24" s="591">
        <f t="shared" si="5"/>
        <v>2</v>
      </c>
      <c r="G24" s="591">
        <f t="shared" si="5"/>
        <v>0</v>
      </c>
      <c r="H24" s="591">
        <f t="shared" si="5"/>
        <v>0</v>
      </c>
      <c r="I24" s="591">
        <f t="shared" si="5"/>
        <v>0</v>
      </c>
      <c r="J24" s="591">
        <f>SUM(J25:J26)</f>
        <v>2</v>
      </c>
      <c r="K24" s="591">
        <f>SUM(K25:K27)</f>
        <v>111320</v>
      </c>
      <c r="L24" s="591">
        <f>SUM(L25:L27)</f>
        <v>0</v>
      </c>
      <c r="M24" s="591">
        <f>SUM(M25:M27)</f>
        <v>0</v>
      </c>
      <c r="N24" s="590">
        <f>SUM(N25:N27)</f>
        <v>111322</v>
      </c>
    </row>
    <row r="25" spans="1:14" ht="23.25" customHeight="1">
      <c r="A25" s="541"/>
      <c r="B25" s="593" t="s">
        <v>109</v>
      </c>
      <c r="C25" s="549" t="s">
        <v>359</v>
      </c>
      <c r="D25" s="547"/>
      <c r="E25" s="547"/>
      <c r="F25" s="543">
        <v>2</v>
      </c>
      <c r="G25" s="547"/>
      <c r="H25" s="547"/>
      <c r="I25" s="547">
        <v>0</v>
      </c>
      <c r="J25" s="578">
        <f>SUM(D25:I25)</f>
        <v>2</v>
      </c>
      <c r="K25" s="547">
        <f>11654+20000+6771</f>
        <v>38425</v>
      </c>
      <c r="L25" s="547"/>
      <c r="M25" s="547">
        <v>0</v>
      </c>
      <c r="N25" s="926">
        <f>SUM(J25:M25)</f>
        <v>38427</v>
      </c>
    </row>
    <row r="26" spans="1:14" ht="11.25" customHeight="1">
      <c r="A26" s="541"/>
      <c r="B26" s="593" t="s">
        <v>111</v>
      </c>
      <c r="C26" s="549" t="s">
        <v>985</v>
      </c>
      <c r="D26" s="547"/>
      <c r="E26" s="547"/>
      <c r="F26" s="543"/>
      <c r="G26" s="547"/>
      <c r="H26" s="547"/>
      <c r="I26" s="547">
        <v>0</v>
      </c>
      <c r="J26" s="578">
        <f>SUM(D26:I26)</f>
        <v>0</v>
      </c>
      <c r="K26" s="547">
        <v>68220</v>
      </c>
      <c r="L26" s="547"/>
      <c r="M26" s="547">
        <v>0</v>
      </c>
      <c r="N26" s="926">
        <f>SUM(J26:M26)</f>
        <v>68220</v>
      </c>
    </row>
    <row r="27" spans="1:14" ht="11.25" customHeight="1" thickBot="1">
      <c r="A27" s="929"/>
      <c r="B27" s="594" t="s">
        <v>122</v>
      </c>
      <c r="C27" s="600" t="s">
        <v>721</v>
      </c>
      <c r="D27" s="599"/>
      <c r="E27" s="599"/>
      <c r="F27" s="924"/>
      <c r="G27" s="599"/>
      <c r="H27" s="599"/>
      <c r="I27" s="599"/>
      <c r="J27" s="586">
        <f>F27</f>
        <v>0</v>
      </c>
      <c r="K27" s="599">
        <v>4675</v>
      </c>
      <c r="L27" s="599"/>
      <c r="M27" s="599"/>
      <c r="N27" s="925">
        <f>SUM(J27:M27)</f>
        <v>4675</v>
      </c>
    </row>
    <row r="28" spans="1:14" ht="11.25" customHeight="1">
      <c r="A28" s="837" t="s">
        <v>192</v>
      </c>
      <c r="B28" s="838"/>
      <c r="C28" s="839" t="s">
        <v>279</v>
      </c>
      <c r="D28" s="840">
        <f aca="true" t="shared" si="6" ref="D28:N28">SUM(D29:D32)</f>
        <v>0</v>
      </c>
      <c r="E28" s="840">
        <f t="shared" si="6"/>
        <v>0</v>
      </c>
      <c r="F28" s="840">
        <f t="shared" si="6"/>
        <v>5714</v>
      </c>
      <c r="G28" s="840">
        <f t="shared" si="6"/>
        <v>0</v>
      </c>
      <c r="H28" s="840">
        <f t="shared" si="6"/>
        <v>0</v>
      </c>
      <c r="I28" s="840">
        <f t="shared" si="6"/>
        <v>0</v>
      </c>
      <c r="J28" s="840">
        <f t="shared" si="6"/>
        <v>5714</v>
      </c>
      <c r="K28" s="840">
        <f t="shared" si="6"/>
        <v>318688</v>
      </c>
      <c r="L28" s="840">
        <f t="shared" si="6"/>
        <v>0</v>
      </c>
      <c r="M28" s="840">
        <f t="shared" si="6"/>
        <v>300000</v>
      </c>
      <c r="N28" s="839">
        <f t="shared" si="6"/>
        <v>624402</v>
      </c>
    </row>
    <row r="29" spans="1:14" ht="11.25" customHeight="1">
      <c r="A29" s="541"/>
      <c r="B29" s="593" t="s">
        <v>109</v>
      </c>
      <c r="C29" s="542" t="s">
        <v>365</v>
      </c>
      <c r="D29" s="547"/>
      <c r="E29" s="547"/>
      <c r="F29" s="543">
        <v>709</v>
      </c>
      <c r="G29" s="547"/>
      <c r="H29" s="547"/>
      <c r="I29" s="547"/>
      <c r="J29" s="578">
        <f aca="true" t="shared" si="7" ref="J29:J37">SUM(D29:I29)</f>
        <v>709</v>
      </c>
      <c r="K29" s="547"/>
      <c r="L29" s="547"/>
      <c r="M29" s="547"/>
      <c r="N29" s="926">
        <f aca="true" t="shared" si="8" ref="N29:N37">SUM(J29:M29)</f>
        <v>709</v>
      </c>
    </row>
    <row r="30" spans="1:14" ht="11.25" customHeight="1">
      <c r="A30" s="541"/>
      <c r="B30" s="593" t="s">
        <v>111</v>
      </c>
      <c r="C30" s="542" t="s">
        <v>366</v>
      </c>
      <c r="D30" s="547"/>
      <c r="E30" s="547"/>
      <c r="F30" s="543">
        <v>6</v>
      </c>
      <c r="G30" s="547"/>
      <c r="H30" s="547"/>
      <c r="I30" s="547"/>
      <c r="J30" s="578">
        <f t="shared" si="7"/>
        <v>6</v>
      </c>
      <c r="K30" s="547"/>
      <c r="L30" s="547"/>
      <c r="M30" s="547"/>
      <c r="N30" s="926">
        <f t="shared" si="8"/>
        <v>6</v>
      </c>
    </row>
    <row r="31" spans="1:14" ht="11.25" customHeight="1">
      <c r="A31" s="595"/>
      <c r="B31" s="597" t="s">
        <v>119</v>
      </c>
      <c r="C31" s="836" t="s">
        <v>633</v>
      </c>
      <c r="D31" s="576"/>
      <c r="E31" s="576"/>
      <c r="F31" s="927">
        <v>4999</v>
      </c>
      <c r="G31" s="576"/>
      <c r="H31" s="576"/>
      <c r="I31" s="576"/>
      <c r="J31" s="596">
        <f t="shared" si="7"/>
        <v>4999</v>
      </c>
      <c r="K31" s="576"/>
      <c r="L31" s="576"/>
      <c r="M31" s="576"/>
      <c r="N31" s="928">
        <f t="shared" si="8"/>
        <v>4999</v>
      </c>
    </row>
    <row r="32" spans="1:14" ht="11.25" customHeight="1" thickBot="1">
      <c r="A32" s="541"/>
      <c r="B32" s="593" t="s">
        <v>126</v>
      </c>
      <c r="C32" s="542" t="s">
        <v>723</v>
      </c>
      <c r="D32" s="547"/>
      <c r="E32" s="547"/>
      <c r="F32" s="543"/>
      <c r="G32" s="547"/>
      <c r="H32" s="547"/>
      <c r="I32" s="547"/>
      <c r="J32" s="578">
        <f t="shared" si="7"/>
        <v>0</v>
      </c>
      <c r="K32" s="547">
        <f>319320-632</f>
        <v>318688</v>
      </c>
      <c r="L32" s="547"/>
      <c r="M32" s="547">
        <v>300000</v>
      </c>
      <c r="N32" s="926">
        <f>K32+M32+J32</f>
        <v>618688</v>
      </c>
    </row>
    <row r="33" spans="1:14" ht="11.25" customHeight="1" thickBot="1">
      <c r="A33" s="841" t="s">
        <v>195</v>
      </c>
      <c r="B33" s="843"/>
      <c r="C33" s="842" t="s">
        <v>282</v>
      </c>
      <c r="D33" s="554"/>
      <c r="E33" s="554"/>
      <c r="F33" s="842">
        <v>8</v>
      </c>
      <c r="G33" s="554"/>
      <c r="H33" s="554"/>
      <c r="I33" s="554">
        <v>0</v>
      </c>
      <c r="J33" s="554">
        <f t="shared" si="7"/>
        <v>8</v>
      </c>
      <c r="K33" s="554"/>
      <c r="L33" s="554"/>
      <c r="M33" s="554"/>
      <c r="N33" s="842">
        <f t="shared" si="8"/>
        <v>8</v>
      </c>
    </row>
    <row r="34" spans="1:14" ht="11.25" customHeight="1" thickBot="1">
      <c r="A34" s="551" t="s">
        <v>207</v>
      </c>
      <c r="B34" s="844"/>
      <c r="C34" s="529" t="s">
        <v>283</v>
      </c>
      <c r="D34" s="845"/>
      <c r="E34" s="845"/>
      <c r="F34" s="529">
        <v>21</v>
      </c>
      <c r="G34" s="845"/>
      <c r="H34" s="845"/>
      <c r="I34" s="845">
        <v>0</v>
      </c>
      <c r="J34" s="845">
        <f t="shared" si="7"/>
        <v>21</v>
      </c>
      <c r="K34" s="845"/>
      <c r="L34" s="845"/>
      <c r="M34" s="845"/>
      <c r="N34" s="529">
        <f t="shared" si="8"/>
        <v>21</v>
      </c>
    </row>
    <row r="35" spans="1:14" ht="11.25" customHeight="1" thickBot="1">
      <c r="A35" s="574" t="s">
        <v>208</v>
      </c>
      <c r="B35" s="575"/>
      <c r="C35" s="523" t="s">
        <v>284</v>
      </c>
      <c r="D35" s="581">
        <v>70</v>
      </c>
      <c r="E35" s="581">
        <v>20</v>
      </c>
      <c r="F35" s="523">
        <v>582</v>
      </c>
      <c r="G35" s="581"/>
      <c r="H35" s="581"/>
      <c r="I35" s="581">
        <v>0</v>
      </c>
      <c r="J35" s="581">
        <f t="shared" si="7"/>
        <v>672</v>
      </c>
      <c r="K35" s="581"/>
      <c r="L35" s="581"/>
      <c r="M35" s="581"/>
      <c r="N35" s="523">
        <f t="shared" si="8"/>
        <v>672</v>
      </c>
    </row>
    <row r="36" spans="1:14" ht="11.25" customHeight="1" thickBot="1">
      <c r="A36" s="841" t="s">
        <v>209</v>
      </c>
      <c r="B36" s="843"/>
      <c r="C36" s="842" t="s">
        <v>727</v>
      </c>
      <c r="D36" s="554"/>
      <c r="E36" s="554"/>
      <c r="F36" s="842"/>
      <c r="G36" s="554"/>
      <c r="H36" s="554"/>
      <c r="I36" s="554">
        <v>0</v>
      </c>
      <c r="J36" s="554">
        <f t="shared" si="7"/>
        <v>0</v>
      </c>
      <c r="K36" s="554">
        <v>392</v>
      </c>
      <c r="L36" s="554"/>
      <c r="M36" s="554"/>
      <c r="N36" s="842">
        <f t="shared" si="8"/>
        <v>392</v>
      </c>
    </row>
    <row r="37" spans="1:14" ht="11.25" customHeight="1" thickBot="1">
      <c r="A37" s="841" t="s">
        <v>211</v>
      </c>
      <c r="B37" s="846"/>
      <c r="C37" s="842" t="s">
        <v>286</v>
      </c>
      <c r="D37" s="554"/>
      <c r="E37" s="554"/>
      <c r="F37" s="842"/>
      <c r="G37" s="554"/>
      <c r="H37" s="554"/>
      <c r="I37" s="554">
        <v>0</v>
      </c>
      <c r="J37" s="554">
        <f t="shared" si="7"/>
        <v>0</v>
      </c>
      <c r="K37" s="554">
        <f>625+827</f>
        <v>1452</v>
      </c>
      <c r="L37" s="554"/>
      <c r="M37" s="554"/>
      <c r="N37" s="842">
        <f t="shared" si="8"/>
        <v>1452</v>
      </c>
    </row>
    <row r="38" spans="1:14" ht="12.75" customHeight="1">
      <c r="A38" s="588" t="s">
        <v>212</v>
      </c>
      <c r="B38" s="601"/>
      <c r="C38" s="590" t="s">
        <v>288</v>
      </c>
      <c r="D38" s="591">
        <f aca="true" t="shared" si="9" ref="D38:N38">SUM(D39:D42)</f>
        <v>0</v>
      </c>
      <c r="E38" s="591">
        <f t="shared" si="9"/>
        <v>0</v>
      </c>
      <c r="F38" s="591">
        <f t="shared" si="9"/>
        <v>1131</v>
      </c>
      <c r="G38" s="591">
        <f t="shared" si="9"/>
        <v>0</v>
      </c>
      <c r="H38" s="591">
        <f t="shared" si="9"/>
        <v>0</v>
      </c>
      <c r="I38" s="591">
        <f t="shared" si="9"/>
        <v>127</v>
      </c>
      <c r="J38" s="591">
        <f t="shared" si="9"/>
        <v>1258</v>
      </c>
      <c r="K38" s="591">
        <f t="shared" si="9"/>
        <v>11720</v>
      </c>
      <c r="L38" s="591">
        <f t="shared" si="9"/>
        <v>2203</v>
      </c>
      <c r="M38" s="591">
        <f t="shared" si="9"/>
        <v>0</v>
      </c>
      <c r="N38" s="590">
        <f t="shared" si="9"/>
        <v>15181</v>
      </c>
    </row>
    <row r="39" spans="1:14" ht="12.75" customHeight="1">
      <c r="A39" s="588"/>
      <c r="B39" s="601" t="s">
        <v>121</v>
      </c>
      <c r="C39" s="922" t="s">
        <v>986</v>
      </c>
      <c r="D39" s="923"/>
      <c r="E39" s="923"/>
      <c r="F39" s="930">
        <v>50</v>
      </c>
      <c r="G39" s="923"/>
      <c r="H39" s="923"/>
      <c r="I39" s="923"/>
      <c r="J39" s="578">
        <f>SUM(D39:I39)</f>
        <v>50</v>
      </c>
      <c r="K39" s="923"/>
      <c r="L39" s="930"/>
      <c r="M39" s="930"/>
      <c r="N39" s="590">
        <f>SUM(J39:M39)</f>
        <v>50</v>
      </c>
    </row>
    <row r="40" spans="1:14" ht="12.75" customHeight="1">
      <c r="A40" s="588"/>
      <c r="B40" s="601" t="s">
        <v>122</v>
      </c>
      <c r="C40" s="922" t="s">
        <v>987</v>
      </c>
      <c r="D40" s="923"/>
      <c r="E40" s="923"/>
      <c r="F40" s="930">
        <v>1081</v>
      </c>
      <c r="G40" s="923"/>
      <c r="H40" s="923"/>
      <c r="I40" s="923">
        <v>127</v>
      </c>
      <c r="J40" s="591">
        <f>SUM(D40:I40)</f>
        <v>1208</v>
      </c>
      <c r="K40" s="923">
        <f>1720</f>
        <v>1720</v>
      </c>
      <c r="L40" s="930"/>
      <c r="M40" s="930"/>
      <c r="N40" s="590">
        <f>J40+K40</f>
        <v>2928</v>
      </c>
    </row>
    <row r="41" spans="1:14" ht="12.75" customHeight="1">
      <c r="A41" s="588"/>
      <c r="B41" s="601">
        <v>11</v>
      </c>
      <c r="C41" s="922" t="s">
        <v>732</v>
      </c>
      <c r="D41" s="923"/>
      <c r="E41" s="923"/>
      <c r="F41" s="930"/>
      <c r="G41" s="923"/>
      <c r="H41" s="923"/>
      <c r="I41" s="923"/>
      <c r="J41" s="591">
        <v>0</v>
      </c>
      <c r="K41" s="923">
        <v>10000</v>
      </c>
      <c r="L41" s="930"/>
      <c r="M41" s="930"/>
      <c r="N41" s="590">
        <f>K41</f>
        <v>10000</v>
      </c>
    </row>
    <row r="42" spans="1:14" ht="12.75" customHeight="1" thickBot="1">
      <c r="A42" s="588"/>
      <c r="B42" s="601">
        <v>12</v>
      </c>
      <c r="C42" s="922" t="s">
        <v>988</v>
      </c>
      <c r="D42" s="923"/>
      <c r="E42" s="923"/>
      <c r="F42" s="930"/>
      <c r="G42" s="923"/>
      <c r="H42" s="923"/>
      <c r="I42" s="923"/>
      <c r="J42" s="591">
        <v>0</v>
      </c>
      <c r="K42" s="923"/>
      <c r="L42" s="930">
        <v>2203</v>
      </c>
      <c r="M42" s="930">
        <v>0</v>
      </c>
      <c r="N42" s="590">
        <f>SUM(K42:M42)</f>
        <v>2203</v>
      </c>
    </row>
    <row r="43" spans="1:14" ht="12.75" customHeight="1">
      <c r="A43" s="837" t="s">
        <v>215</v>
      </c>
      <c r="B43" s="838"/>
      <c r="C43" s="847" t="s">
        <v>294</v>
      </c>
      <c r="D43" s="840">
        <f aca="true" t="shared" si="10" ref="D43:N43">SUM(D44:D46)</f>
        <v>0</v>
      </c>
      <c r="E43" s="840">
        <f t="shared" si="10"/>
        <v>0</v>
      </c>
      <c r="F43" s="840">
        <f t="shared" si="10"/>
        <v>75</v>
      </c>
      <c r="G43" s="840">
        <f t="shared" si="10"/>
        <v>0</v>
      </c>
      <c r="H43" s="840">
        <f t="shared" si="10"/>
        <v>0</v>
      </c>
      <c r="I43" s="840">
        <f t="shared" si="10"/>
        <v>30</v>
      </c>
      <c r="J43" s="840">
        <f t="shared" si="10"/>
        <v>105</v>
      </c>
      <c r="K43" s="840">
        <f t="shared" si="10"/>
        <v>10765</v>
      </c>
      <c r="L43" s="840">
        <f t="shared" si="10"/>
        <v>0</v>
      </c>
      <c r="M43" s="840">
        <f t="shared" si="10"/>
        <v>0</v>
      </c>
      <c r="N43" s="839">
        <f t="shared" si="10"/>
        <v>10870</v>
      </c>
    </row>
    <row r="44" spans="1:14" ht="11.25" customHeight="1">
      <c r="A44" s="541"/>
      <c r="B44" s="593" t="s">
        <v>109</v>
      </c>
      <c r="C44" s="542" t="s">
        <v>383</v>
      </c>
      <c r="D44" s="547"/>
      <c r="E44" s="547"/>
      <c r="F44" s="543">
        <v>75</v>
      </c>
      <c r="G44" s="547"/>
      <c r="H44" s="547"/>
      <c r="I44" s="547"/>
      <c r="J44" s="578">
        <f>SUM(D44:I44)</f>
        <v>75</v>
      </c>
      <c r="K44" s="547">
        <f>5058+5500</f>
        <v>10558</v>
      </c>
      <c r="L44" s="547"/>
      <c r="M44" s="547">
        <v>0</v>
      </c>
      <c r="N44" s="926">
        <f>SUM(J44:M44)</f>
        <v>10633</v>
      </c>
    </row>
    <row r="45" spans="1:14" ht="12.75" customHeight="1">
      <c r="A45" s="541"/>
      <c r="B45" s="593" t="s">
        <v>117</v>
      </c>
      <c r="C45" s="542" t="s">
        <v>386</v>
      </c>
      <c r="D45" s="547"/>
      <c r="E45" s="547"/>
      <c r="F45" s="543"/>
      <c r="G45" s="547"/>
      <c r="H45" s="547"/>
      <c r="I45" s="547"/>
      <c r="J45" s="578">
        <f>SUM(D45:I45)</f>
        <v>0</v>
      </c>
      <c r="K45" s="547">
        <v>207</v>
      </c>
      <c r="L45" s="547"/>
      <c r="M45" s="547">
        <v>0</v>
      </c>
      <c r="N45" s="926">
        <f>SUM(J45:M45)</f>
        <v>207</v>
      </c>
    </row>
    <row r="46" spans="1:14" ht="12.75" customHeight="1" thickBot="1">
      <c r="A46" s="541"/>
      <c r="B46" s="593" t="s">
        <v>127</v>
      </c>
      <c r="C46" s="549" t="s">
        <v>321</v>
      </c>
      <c r="D46" s="547"/>
      <c r="E46" s="547"/>
      <c r="F46" s="543"/>
      <c r="G46" s="547"/>
      <c r="H46" s="547"/>
      <c r="I46" s="547">
        <v>30</v>
      </c>
      <c r="J46" s="578">
        <f>SUM(D46:I46)</f>
        <v>30</v>
      </c>
      <c r="K46" s="547"/>
      <c r="L46" s="547"/>
      <c r="M46" s="547"/>
      <c r="N46" s="926">
        <f>SUM(J46:M46)</f>
        <v>30</v>
      </c>
    </row>
    <row r="47" spans="1:14" ht="11.25" customHeight="1">
      <c r="A47" s="837" t="s">
        <v>216</v>
      </c>
      <c r="B47" s="838"/>
      <c r="C47" s="839" t="s">
        <v>296</v>
      </c>
      <c r="D47" s="840">
        <f aca="true" t="shared" si="11" ref="D47:N47">SUM(D48:D49)</f>
        <v>0</v>
      </c>
      <c r="E47" s="840">
        <f t="shared" si="11"/>
        <v>0</v>
      </c>
      <c r="F47" s="840">
        <f t="shared" si="11"/>
        <v>0</v>
      </c>
      <c r="G47" s="840">
        <f t="shared" si="11"/>
        <v>0</v>
      </c>
      <c r="H47" s="840">
        <f t="shared" si="11"/>
        <v>0</v>
      </c>
      <c r="I47" s="840">
        <f t="shared" si="11"/>
        <v>307</v>
      </c>
      <c r="J47" s="840">
        <f t="shared" si="11"/>
        <v>307</v>
      </c>
      <c r="K47" s="840">
        <f t="shared" si="11"/>
        <v>60000</v>
      </c>
      <c r="L47" s="840">
        <f t="shared" si="11"/>
        <v>0</v>
      </c>
      <c r="M47" s="840">
        <f t="shared" si="11"/>
        <v>0</v>
      </c>
      <c r="N47" s="839">
        <f t="shared" si="11"/>
        <v>60307</v>
      </c>
    </row>
    <row r="48" spans="1:14" ht="21.75" customHeight="1">
      <c r="A48" s="595"/>
      <c r="B48" s="597" t="s">
        <v>117</v>
      </c>
      <c r="C48" s="598" t="s">
        <v>989</v>
      </c>
      <c r="D48" s="576"/>
      <c r="E48" s="576"/>
      <c r="F48" s="927"/>
      <c r="G48" s="576"/>
      <c r="H48" s="576"/>
      <c r="I48" s="576">
        <v>307</v>
      </c>
      <c r="J48" s="596">
        <f>SUM(D48:I48)</f>
        <v>307</v>
      </c>
      <c r="K48" s="576"/>
      <c r="L48" s="576"/>
      <c r="M48" s="576">
        <v>0</v>
      </c>
      <c r="N48" s="928">
        <f>SUM(J48:M48)</f>
        <v>307</v>
      </c>
    </row>
    <row r="49" spans="1:14" ht="11.25" customHeight="1" thickBot="1">
      <c r="A49" s="583"/>
      <c r="B49" s="594" t="s">
        <v>124</v>
      </c>
      <c r="C49" s="931" t="s">
        <v>0</v>
      </c>
      <c r="D49" s="932"/>
      <c r="E49" s="932"/>
      <c r="F49" s="933"/>
      <c r="G49" s="932"/>
      <c r="H49" s="599"/>
      <c r="I49" s="599"/>
      <c r="J49" s="586">
        <v>0</v>
      </c>
      <c r="K49" s="599">
        <v>60000</v>
      </c>
      <c r="L49" s="599"/>
      <c r="M49" s="599"/>
      <c r="N49" s="925">
        <f>K49</f>
        <v>60000</v>
      </c>
    </row>
    <row r="50" spans="1:14" ht="11.25" customHeight="1" thickBot="1">
      <c r="A50" s="841" t="s">
        <v>217</v>
      </c>
      <c r="B50" s="934"/>
      <c r="C50" s="842" t="s">
        <v>297</v>
      </c>
      <c r="D50" s="554"/>
      <c r="E50" s="554"/>
      <c r="F50" s="842">
        <v>33</v>
      </c>
      <c r="G50" s="554"/>
      <c r="H50" s="554"/>
      <c r="I50" s="554"/>
      <c r="J50" s="554">
        <f>SUM(D50:I50)</f>
        <v>33</v>
      </c>
      <c r="K50" s="554">
        <v>0</v>
      </c>
      <c r="L50" s="554">
        <v>0</v>
      </c>
      <c r="M50" s="554"/>
      <c r="N50" s="842">
        <f>SUM(J50:M50)</f>
        <v>33</v>
      </c>
    </row>
    <row r="51" spans="1:14" ht="11.25" customHeight="1">
      <c r="A51" s="837" t="s">
        <v>291</v>
      </c>
      <c r="B51" s="838"/>
      <c r="C51" s="839" t="s">
        <v>300</v>
      </c>
      <c r="D51" s="840">
        <f aca="true" t="shared" si="12" ref="D51:N51">D52</f>
        <v>0</v>
      </c>
      <c r="E51" s="840">
        <f t="shared" si="12"/>
        <v>0</v>
      </c>
      <c r="F51" s="840">
        <f t="shared" si="12"/>
        <v>0</v>
      </c>
      <c r="G51" s="840">
        <f t="shared" si="12"/>
        <v>0</v>
      </c>
      <c r="H51" s="840">
        <f t="shared" si="12"/>
        <v>0</v>
      </c>
      <c r="I51" s="840">
        <f t="shared" si="12"/>
        <v>0</v>
      </c>
      <c r="J51" s="840">
        <f t="shared" si="12"/>
        <v>0</v>
      </c>
      <c r="K51" s="840">
        <f t="shared" si="12"/>
        <v>23659</v>
      </c>
      <c r="L51" s="840">
        <f t="shared" si="12"/>
        <v>0</v>
      </c>
      <c r="M51" s="840">
        <f t="shared" si="12"/>
        <v>0</v>
      </c>
      <c r="N51" s="840">
        <f t="shared" si="12"/>
        <v>23659</v>
      </c>
    </row>
    <row r="52" spans="1:14" ht="11.25" customHeight="1" thickBot="1">
      <c r="A52" s="541"/>
      <c r="B52" s="593" t="s">
        <v>111</v>
      </c>
      <c r="C52" s="935" t="s">
        <v>568</v>
      </c>
      <c r="D52" s="547">
        <v>0</v>
      </c>
      <c r="E52" s="547">
        <v>0</v>
      </c>
      <c r="F52" s="543">
        <v>0</v>
      </c>
      <c r="G52" s="547">
        <v>0</v>
      </c>
      <c r="H52" s="547">
        <v>0</v>
      </c>
      <c r="I52" s="547">
        <v>0</v>
      </c>
      <c r="J52" s="578">
        <v>0</v>
      </c>
      <c r="K52" s="547">
        <v>23659</v>
      </c>
      <c r="L52" s="547"/>
      <c r="M52" s="578">
        <v>0</v>
      </c>
      <c r="N52" s="926">
        <f>K52</f>
        <v>23659</v>
      </c>
    </row>
    <row r="53" spans="1:14" ht="11.25" customHeight="1">
      <c r="A53" s="837" t="s">
        <v>293</v>
      </c>
      <c r="B53" s="838"/>
      <c r="C53" s="839" t="s">
        <v>301</v>
      </c>
      <c r="D53" s="840">
        <f aca="true" t="shared" si="13" ref="D53:N53">SUM(D54:D54)</f>
        <v>0</v>
      </c>
      <c r="E53" s="840">
        <f t="shared" si="13"/>
        <v>0</v>
      </c>
      <c r="F53" s="840">
        <f t="shared" si="13"/>
        <v>2158</v>
      </c>
      <c r="G53" s="840">
        <f t="shared" si="13"/>
        <v>0</v>
      </c>
      <c r="H53" s="840">
        <f t="shared" si="13"/>
        <v>0</v>
      </c>
      <c r="I53" s="840">
        <f t="shared" si="13"/>
        <v>0</v>
      </c>
      <c r="J53" s="840">
        <f t="shared" si="13"/>
        <v>2158</v>
      </c>
      <c r="K53" s="840">
        <f t="shared" si="13"/>
        <v>0</v>
      </c>
      <c r="L53" s="840">
        <f t="shared" si="13"/>
        <v>0</v>
      </c>
      <c r="M53" s="840">
        <f t="shared" si="13"/>
        <v>0</v>
      </c>
      <c r="N53" s="839">
        <f t="shared" si="13"/>
        <v>2158</v>
      </c>
    </row>
    <row r="54" spans="1:14" ht="11.25" customHeight="1" thickBot="1">
      <c r="A54" s="541"/>
      <c r="B54" s="593" t="s">
        <v>111</v>
      </c>
      <c r="C54" s="542" t="s">
        <v>408</v>
      </c>
      <c r="D54" s="547">
        <v>0</v>
      </c>
      <c r="E54" s="547">
        <v>0</v>
      </c>
      <c r="F54" s="543">
        <v>2158</v>
      </c>
      <c r="G54" s="547">
        <v>0</v>
      </c>
      <c r="H54" s="547">
        <v>0</v>
      </c>
      <c r="I54" s="547">
        <v>0</v>
      </c>
      <c r="J54" s="578">
        <f>SUM(D54:I54)</f>
        <v>2158</v>
      </c>
      <c r="K54" s="547">
        <v>0</v>
      </c>
      <c r="L54" s="547">
        <v>0</v>
      </c>
      <c r="M54" s="547">
        <v>0</v>
      </c>
      <c r="N54" s="926">
        <f>SUM(J54:M54)</f>
        <v>2158</v>
      </c>
    </row>
    <row r="55" spans="1:14" ht="11.25" customHeight="1">
      <c r="A55" s="837" t="s">
        <v>691</v>
      </c>
      <c r="B55" s="838"/>
      <c r="C55" s="839" t="s">
        <v>302</v>
      </c>
      <c r="D55" s="840">
        <f aca="true" t="shared" si="14" ref="D55:M55">SUM(D57:D57)</f>
        <v>0</v>
      </c>
      <c r="E55" s="840">
        <f t="shared" si="14"/>
        <v>0</v>
      </c>
      <c r="F55" s="840">
        <f t="shared" si="14"/>
        <v>1880</v>
      </c>
      <c r="G55" s="840">
        <f t="shared" si="14"/>
        <v>0</v>
      </c>
      <c r="H55" s="840">
        <f>H56</f>
        <v>3077</v>
      </c>
      <c r="I55" s="840">
        <f t="shared" si="14"/>
        <v>0</v>
      </c>
      <c r="J55" s="840">
        <f>SUM(J56:J57)</f>
        <v>4957</v>
      </c>
      <c r="K55" s="840">
        <f t="shared" si="14"/>
        <v>0</v>
      </c>
      <c r="L55" s="840">
        <f t="shared" si="14"/>
        <v>0</v>
      </c>
      <c r="M55" s="840">
        <f t="shared" si="14"/>
        <v>0</v>
      </c>
      <c r="N55" s="839">
        <f>SUM(N56:N57)</f>
        <v>4957</v>
      </c>
    </row>
    <row r="56" spans="1:14" ht="11.25" customHeight="1">
      <c r="A56" s="588"/>
      <c r="B56" s="601" t="s">
        <v>124</v>
      </c>
      <c r="C56" s="922" t="s">
        <v>29</v>
      </c>
      <c r="D56" s="591"/>
      <c r="E56" s="591"/>
      <c r="F56" s="591"/>
      <c r="G56" s="591"/>
      <c r="H56" s="923">
        <v>3077</v>
      </c>
      <c r="I56" s="591"/>
      <c r="J56" s="591">
        <f>H56</f>
        <v>3077</v>
      </c>
      <c r="K56" s="591"/>
      <c r="L56" s="591"/>
      <c r="M56" s="591"/>
      <c r="N56" s="590">
        <f>J56</f>
        <v>3077</v>
      </c>
    </row>
    <row r="57" spans="1:14" ht="11.25" customHeight="1" thickBot="1">
      <c r="A57" s="541"/>
      <c r="B57" s="593" t="s">
        <v>207</v>
      </c>
      <c r="C57" s="542" t="s">
        <v>420</v>
      </c>
      <c r="D57" s="547">
        <v>0</v>
      </c>
      <c r="E57" s="547">
        <v>0</v>
      </c>
      <c r="F57" s="543">
        <f>2270-1022+632</f>
        <v>1880</v>
      </c>
      <c r="G57" s="547"/>
      <c r="H57" s="547"/>
      <c r="I57" s="547">
        <v>0</v>
      </c>
      <c r="J57" s="578">
        <f>SUM(D57:I57)</f>
        <v>1880</v>
      </c>
      <c r="K57" s="547"/>
      <c r="L57" s="547"/>
      <c r="M57" s="547">
        <v>0</v>
      </c>
      <c r="N57" s="926">
        <f>SUM(J57:M57)</f>
        <v>1880</v>
      </c>
    </row>
    <row r="58" spans="1:14" ht="12" customHeight="1" thickBot="1">
      <c r="A58" s="841" t="s">
        <v>694</v>
      </c>
      <c r="B58" s="843"/>
      <c r="C58" s="842" t="s">
        <v>305</v>
      </c>
      <c r="D58" s="554">
        <v>0</v>
      </c>
      <c r="E58" s="554">
        <v>0</v>
      </c>
      <c r="F58" s="842">
        <v>50</v>
      </c>
      <c r="G58" s="554">
        <v>0</v>
      </c>
      <c r="H58" s="554">
        <f>80-80</f>
        <v>0</v>
      </c>
      <c r="I58" s="554"/>
      <c r="J58" s="554">
        <f>SUM(D58:I58)</f>
        <v>50</v>
      </c>
      <c r="K58" s="554">
        <v>0</v>
      </c>
      <c r="L58" s="554">
        <v>0</v>
      </c>
      <c r="M58" s="554">
        <v>0</v>
      </c>
      <c r="N58" s="842">
        <f>SUM(J58:M58)</f>
        <v>50</v>
      </c>
    </row>
    <row r="59" spans="1:14" ht="12" customHeight="1" thickBot="1">
      <c r="A59" s="841" t="s">
        <v>695</v>
      </c>
      <c r="B59" s="843"/>
      <c r="C59" s="842" t="s">
        <v>306</v>
      </c>
      <c r="D59" s="554">
        <v>0</v>
      </c>
      <c r="E59" s="554">
        <v>0</v>
      </c>
      <c r="F59" s="842">
        <v>41</v>
      </c>
      <c r="G59" s="554">
        <v>0</v>
      </c>
      <c r="H59" s="554">
        <v>0</v>
      </c>
      <c r="I59" s="554">
        <v>0</v>
      </c>
      <c r="J59" s="554">
        <f>SUM(D59:I59)</f>
        <v>41</v>
      </c>
      <c r="K59" s="554">
        <v>0</v>
      </c>
      <c r="L59" s="554">
        <v>0</v>
      </c>
      <c r="M59" s="554">
        <v>0</v>
      </c>
      <c r="N59" s="842">
        <f>SUM(J59:M59)</f>
        <v>41</v>
      </c>
    </row>
    <row r="60" spans="1:14" ht="12" customHeight="1" thickBot="1">
      <c r="A60" s="841" t="s">
        <v>696</v>
      </c>
      <c r="B60" s="843"/>
      <c r="C60" s="842" t="s">
        <v>307</v>
      </c>
      <c r="D60" s="554">
        <v>0</v>
      </c>
      <c r="E60" s="554"/>
      <c r="F60" s="842">
        <v>55</v>
      </c>
      <c r="G60" s="554">
        <v>0</v>
      </c>
      <c r="H60" s="554">
        <f>100+100-34-166</f>
        <v>0</v>
      </c>
      <c r="I60" s="554">
        <f>95-95</f>
        <v>0</v>
      </c>
      <c r="J60" s="554">
        <f>SUM(D60:I60)</f>
        <v>55</v>
      </c>
      <c r="K60" s="554">
        <v>0</v>
      </c>
      <c r="L60" s="554">
        <v>0</v>
      </c>
      <c r="M60" s="554">
        <v>0</v>
      </c>
      <c r="N60" s="842">
        <f>SUM(J60:M60)</f>
        <v>55</v>
      </c>
    </row>
    <row r="61" spans="10:14" ht="7.5" customHeight="1" thickBot="1">
      <c r="J61" s="883" t="s">
        <v>314</v>
      </c>
      <c r="K61" s="884"/>
      <c r="L61" s="884"/>
      <c r="M61" s="884"/>
      <c r="N61" s="885" t="s">
        <v>314</v>
      </c>
    </row>
    <row r="62" spans="1:14" ht="15" customHeight="1">
      <c r="A62" s="1430"/>
      <c r="B62" s="1431"/>
      <c r="C62" s="1432"/>
      <c r="D62" s="519" t="s">
        <v>251</v>
      </c>
      <c r="E62" s="519" t="s">
        <v>252</v>
      </c>
      <c r="F62" s="519" t="s">
        <v>253</v>
      </c>
      <c r="G62" s="519" t="s">
        <v>254</v>
      </c>
      <c r="H62" s="1384" t="s">
        <v>339</v>
      </c>
      <c r="I62" s="1387" t="s">
        <v>335</v>
      </c>
      <c r="J62" s="899" t="s">
        <v>135</v>
      </c>
      <c r="K62" s="519" t="s">
        <v>255</v>
      </c>
      <c r="L62" s="519" t="s">
        <v>256</v>
      </c>
      <c r="M62" s="519"/>
      <c r="N62" s="900" t="s">
        <v>81</v>
      </c>
    </row>
    <row r="63" spans="1:14" ht="15" customHeight="1">
      <c r="A63" s="1433"/>
      <c r="B63" s="1434"/>
      <c r="C63" s="1435"/>
      <c r="D63" s="526" t="s">
        <v>260</v>
      </c>
      <c r="E63" s="526" t="s">
        <v>261</v>
      </c>
      <c r="F63" s="526" t="s">
        <v>262</v>
      </c>
      <c r="G63" s="526" t="s">
        <v>263</v>
      </c>
      <c r="H63" s="1385"/>
      <c r="I63" s="1388"/>
      <c r="J63" s="898" t="s">
        <v>669</v>
      </c>
      <c r="K63" s="526" t="s">
        <v>265</v>
      </c>
      <c r="L63" s="526" t="s">
        <v>264</v>
      </c>
      <c r="M63" s="526" t="s">
        <v>133</v>
      </c>
      <c r="N63" s="885" t="s">
        <v>262</v>
      </c>
    </row>
    <row r="64" spans="1:14" ht="15" customHeight="1" thickBot="1">
      <c r="A64" s="1436"/>
      <c r="B64" s="1437"/>
      <c r="C64" s="1438"/>
      <c r="D64" s="531" t="s">
        <v>262</v>
      </c>
      <c r="E64" s="531" t="s">
        <v>268</v>
      </c>
      <c r="F64" s="531"/>
      <c r="G64" s="531" t="s">
        <v>269</v>
      </c>
      <c r="H64" s="1386"/>
      <c r="I64" s="1389"/>
      <c r="J64" s="901" t="s">
        <v>670</v>
      </c>
      <c r="K64" s="531" t="s">
        <v>270</v>
      </c>
      <c r="L64" s="531" t="s">
        <v>271</v>
      </c>
      <c r="M64" s="531"/>
      <c r="N64" s="902" t="s">
        <v>670</v>
      </c>
    </row>
    <row r="65" spans="1:14" ht="24" customHeight="1">
      <c r="A65" s="1420" t="s">
        <v>455</v>
      </c>
      <c r="B65" s="1421"/>
      <c r="C65" s="1422"/>
      <c r="D65" s="591">
        <f aca="true" t="shared" si="15" ref="D65:I65">D20+D22+D24+D28+D33+D34+D35+D36+D37+D38+D43+D47+D50+D51+D53+D55+D58+D59+D60</f>
        <v>70</v>
      </c>
      <c r="E65" s="591">
        <f t="shared" si="15"/>
        <v>20</v>
      </c>
      <c r="F65" s="591">
        <f t="shared" si="15"/>
        <v>13577</v>
      </c>
      <c r="G65" s="591">
        <f t="shared" si="15"/>
        <v>0</v>
      </c>
      <c r="H65" s="591">
        <f t="shared" si="15"/>
        <v>3077</v>
      </c>
      <c r="I65" s="591">
        <f t="shared" si="15"/>
        <v>464</v>
      </c>
      <c r="J65" s="591">
        <f>SUM(D65:I65)</f>
        <v>17208</v>
      </c>
      <c r="K65" s="591">
        <f>K20+K22+K24+K28+K33+K34+K35+K36+K37+K38+K43+K47+K50+K51+K53+K55+K58+K59+K60</f>
        <v>584372</v>
      </c>
      <c r="L65" s="591">
        <f>L20+L22+L24+L28+L33+L34+L35+L36+L37+L38+L43+L47+L50+L51+L53+L55+L58+L59+L60</f>
        <v>2203</v>
      </c>
      <c r="M65" s="591">
        <f>M20+M22+M24+M28+M33+M34+M35+M36+M37+M38+M43+M47+M50+M51+M53+M55+M58+M59+M60</f>
        <v>300000</v>
      </c>
      <c r="N65" s="592">
        <f>K65+L65+M65</f>
        <v>886575</v>
      </c>
    </row>
    <row r="66" spans="1:14" ht="12.75" customHeight="1">
      <c r="A66" s="1423" t="s">
        <v>811</v>
      </c>
      <c r="B66" s="1424"/>
      <c r="C66" s="1425"/>
      <c r="D66" s="578">
        <f>5!D621-5!D622-'12'!D65</f>
        <v>22565</v>
      </c>
      <c r="E66" s="578">
        <f>5!E621-5!E622-'12'!E65</f>
        <v>6878</v>
      </c>
      <c r="F66" s="578">
        <f>5!F621-5!F622-'12'!F65</f>
        <v>69606</v>
      </c>
      <c r="G66" s="578"/>
      <c r="H66" s="578">
        <f>5!H621-5!H622-'12'!H65</f>
        <v>25826</v>
      </c>
      <c r="I66" s="578">
        <f>5!I621-5!I622-'12'!I65</f>
        <v>12093</v>
      </c>
      <c r="J66" s="578">
        <f>SUM(D66:I66)+M66</f>
        <v>150652</v>
      </c>
      <c r="K66" s="578">
        <v>23387</v>
      </c>
      <c r="L66" s="578">
        <v>9038</v>
      </c>
      <c r="M66" s="578">
        <v>13684</v>
      </c>
      <c r="N66" s="579">
        <f>K66+L66</f>
        <v>32425</v>
      </c>
    </row>
    <row r="67" spans="1:14" ht="12.75" customHeight="1">
      <c r="A67" s="1426" t="s">
        <v>812</v>
      </c>
      <c r="B67" s="1424"/>
      <c r="C67" s="1425"/>
      <c r="D67" s="596">
        <f aca="true" t="shared" si="16" ref="D67:M67">D65+D66</f>
        <v>22635</v>
      </c>
      <c r="E67" s="596">
        <f t="shared" si="16"/>
        <v>6898</v>
      </c>
      <c r="F67" s="596">
        <f t="shared" si="16"/>
        <v>83183</v>
      </c>
      <c r="G67" s="596">
        <f t="shared" si="16"/>
        <v>0</v>
      </c>
      <c r="H67" s="596">
        <f t="shared" si="16"/>
        <v>28903</v>
      </c>
      <c r="I67" s="596">
        <f t="shared" si="16"/>
        <v>12557</v>
      </c>
      <c r="J67" s="596">
        <f>J65+J66</f>
        <v>167860</v>
      </c>
      <c r="K67" s="596">
        <f>K65+K66</f>
        <v>607759</v>
      </c>
      <c r="L67" s="596">
        <f t="shared" si="16"/>
        <v>11241</v>
      </c>
      <c r="M67" s="596">
        <f t="shared" si="16"/>
        <v>313684</v>
      </c>
      <c r="N67" s="848">
        <f>N65+N66</f>
        <v>919000</v>
      </c>
    </row>
    <row r="68" spans="1:14" ht="12.75" customHeight="1">
      <c r="A68" s="1417" t="s">
        <v>82</v>
      </c>
      <c r="B68" s="1418"/>
      <c r="C68" s="1419"/>
      <c r="D68" s="596"/>
      <c r="E68" s="596"/>
      <c r="F68" s="596"/>
      <c r="G68" s="596"/>
      <c r="H68" s="596"/>
      <c r="I68" s="596"/>
      <c r="J68" s="596">
        <f>-(175899+J18)</f>
        <v>-179805</v>
      </c>
      <c r="K68" s="596"/>
      <c r="L68" s="596"/>
      <c r="M68" s="596"/>
      <c r="N68" s="848">
        <v>-899625</v>
      </c>
    </row>
    <row r="69" spans="1:14" ht="12.75" customHeight="1">
      <c r="A69" s="602"/>
      <c r="B69" s="603"/>
      <c r="C69" s="604"/>
      <c r="D69" s="596"/>
      <c r="E69" s="596"/>
      <c r="F69" s="596"/>
      <c r="G69" s="596"/>
      <c r="H69" s="596"/>
      <c r="I69" s="596"/>
      <c r="J69" s="886" t="s">
        <v>80</v>
      </c>
      <c r="K69" s="886"/>
      <c r="L69" s="886"/>
      <c r="M69" s="886"/>
      <c r="N69" s="887" t="s">
        <v>81</v>
      </c>
    </row>
    <row r="70" spans="1:14" ht="24.75" customHeight="1">
      <c r="A70" s="1427" t="s">
        <v>456</v>
      </c>
      <c r="B70" s="1428"/>
      <c r="C70" s="1429"/>
      <c r="D70" s="596">
        <f aca="true" t="shared" si="17" ref="D70:I71">D65+D16</f>
        <v>3720</v>
      </c>
      <c r="E70" s="596">
        <f t="shared" si="17"/>
        <v>197</v>
      </c>
      <c r="F70" s="596">
        <f t="shared" si="17"/>
        <v>16165</v>
      </c>
      <c r="G70" s="596">
        <f t="shared" si="17"/>
        <v>0</v>
      </c>
      <c r="H70" s="596">
        <f t="shared" si="17"/>
        <v>3077</v>
      </c>
      <c r="I70" s="596">
        <f t="shared" si="17"/>
        <v>464</v>
      </c>
      <c r="J70" s="596">
        <f>SUM(D70:I70)</f>
        <v>23623</v>
      </c>
      <c r="K70" s="596">
        <f aca="true" t="shared" si="18" ref="K70:M71">K65+K16</f>
        <v>584596</v>
      </c>
      <c r="L70" s="596">
        <f t="shared" si="18"/>
        <v>2203</v>
      </c>
      <c r="M70" s="596">
        <f t="shared" si="18"/>
        <v>300000</v>
      </c>
      <c r="N70" s="848">
        <f>K70+L70+M70</f>
        <v>886799</v>
      </c>
    </row>
    <row r="71" spans="1:14" ht="12.75" customHeight="1">
      <c r="A71" s="1417" t="s">
        <v>813</v>
      </c>
      <c r="B71" s="1418"/>
      <c r="C71" s="1419"/>
      <c r="D71" s="596" t="e">
        <f t="shared" si="17"/>
        <v>#REF!</v>
      </c>
      <c r="E71" s="596" t="e">
        <f t="shared" si="17"/>
        <v>#REF!</v>
      </c>
      <c r="F71" s="596" t="e">
        <f t="shared" si="17"/>
        <v>#REF!</v>
      </c>
      <c r="G71" s="596">
        <f t="shared" si="17"/>
        <v>0</v>
      </c>
      <c r="H71" s="596">
        <f t="shared" si="17"/>
        <v>25826</v>
      </c>
      <c r="I71" s="596">
        <f t="shared" si="17"/>
        <v>12093</v>
      </c>
      <c r="J71" s="596" t="e">
        <f>SUM(D71:I71)+M71</f>
        <v>#REF!</v>
      </c>
      <c r="K71" s="596">
        <f t="shared" si="18"/>
        <v>23387</v>
      </c>
      <c r="L71" s="596">
        <f t="shared" si="18"/>
        <v>9038</v>
      </c>
      <c r="M71" s="596">
        <f t="shared" si="18"/>
        <v>13684</v>
      </c>
      <c r="N71" s="848">
        <f>K71+L71</f>
        <v>32425</v>
      </c>
    </row>
    <row r="72" spans="1:14" ht="12.75" customHeight="1">
      <c r="A72" s="1417" t="s">
        <v>79</v>
      </c>
      <c r="B72" s="1418"/>
      <c r="C72" s="1419"/>
      <c r="D72" s="596"/>
      <c r="E72" s="596"/>
      <c r="F72" s="596"/>
      <c r="G72" s="596"/>
      <c r="H72" s="596"/>
      <c r="I72" s="596"/>
      <c r="J72" s="596">
        <v>0</v>
      </c>
      <c r="K72" s="596"/>
      <c r="L72" s="596"/>
      <c r="M72" s="596"/>
      <c r="N72" s="848">
        <f>N68+N18</f>
        <v>-899996</v>
      </c>
    </row>
    <row r="73" spans="1:14" ht="12.75" customHeight="1" thickBot="1">
      <c r="A73" s="1414" t="s">
        <v>814</v>
      </c>
      <c r="B73" s="1415"/>
      <c r="C73" s="1416"/>
      <c r="D73" s="586"/>
      <c r="E73" s="586"/>
      <c r="F73" s="586"/>
      <c r="G73" s="586"/>
      <c r="H73" s="586"/>
      <c r="I73" s="586"/>
      <c r="J73" s="586">
        <f>J68+J18</f>
        <v>-175899</v>
      </c>
      <c r="K73" s="586"/>
      <c r="L73" s="586"/>
      <c r="M73" s="586"/>
      <c r="N73" s="587">
        <v>0</v>
      </c>
    </row>
  </sheetData>
  <sheetProtection/>
  <mergeCells count="17">
    <mergeCell ref="I62:I64"/>
    <mergeCell ref="A62:C64"/>
    <mergeCell ref="I6:I8"/>
    <mergeCell ref="H6:H8"/>
    <mergeCell ref="A19:C19"/>
    <mergeCell ref="A6:B6"/>
    <mergeCell ref="A7:B7"/>
    <mergeCell ref="A8:B8"/>
    <mergeCell ref="A73:C73"/>
    <mergeCell ref="A72:C72"/>
    <mergeCell ref="H62:H64"/>
    <mergeCell ref="A65:C65"/>
    <mergeCell ref="A66:C66"/>
    <mergeCell ref="A68:C68"/>
    <mergeCell ref="A67:C67"/>
    <mergeCell ref="A70:C70"/>
    <mergeCell ref="A71:C7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0" r:id="rId2"/>
  <rowBreaks count="1" manualBreakCount="1">
    <brk id="46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8:N62"/>
  <sheetViews>
    <sheetView showGridLines="0" view="pageBreakPreview" zoomScale="145" zoomScaleSheetLayoutView="145" zoomScalePageLayoutView="0" workbookViewId="0" topLeftCell="A43">
      <selection activeCell="L18" sqref="L18"/>
    </sheetView>
  </sheetViews>
  <sheetFormatPr defaultColWidth="9.00390625" defaultRowHeight="12.75"/>
  <cols>
    <col min="1" max="1" width="30.625" style="605" customWidth="1"/>
    <col min="2" max="2" width="9.875" style="605" customWidth="1"/>
    <col min="3" max="3" width="8.00390625" style="605" customWidth="1"/>
    <col min="4" max="4" width="9.75390625" style="605" customWidth="1"/>
    <col min="5" max="5" width="9.375" style="605" customWidth="1"/>
    <col min="6" max="6" width="7.125" style="605" customWidth="1"/>
    <col min="7" max="7" width="10.125" style="605" customWidth="1"/>
    <col min="8" max="9" width="9.25390625" style="605" customWidth="1"/>
    <col min="10" max="10" width="6.125" style="605" customWidth="1"/>
    <col min="11" max="11" width="9.375" style="605" customWidth="1"/>
    <col min="12" max="12" width="8.875" style="605" customWidth="1"/>
    <col min="13" max="13" width="6.375" style="605" customWidth="1"/>
    <col min="14" max="14" width="9.00390625" style="605" customWidth="1"/>
    <col min="15" max="16384" width="9.125" style="605" customWidth="1"/>
  </cols>
  <sheetData>
    <row r="5" ht="10.5" customHeight="1"/>
    <row r="6" ht="10.5" customHeight="1"/>
    <row r="7" ht="10.5" customHeight="1"/>
    <row r="8" ht="9.75" customHeight="1" thickBot="1">
      <c r="G8" s="606" t="s">
        <v>94</v>
      </c>
    </row>
    <row r="9" spans="1:14" s="610" customFormat="1" ht="9.75" customHeight="1">
      <c r="A9" s="607"/>
      <c r="B9" s="1447" t="s">
        <v>815</v>
      </c>
      <c r="C9" s="1447" t="s">
        <v>816</v>
      </c>
      <c r="D9" s="1447" t="s">
        <v>817</v>
      </c>
      <c r="E9" s="1447" t="s">
        <v>818</v>
      </c>
      <c r="F9" s="1447" t="s">
        <v>819</v>
      </c>
      <c r="G9" s="1450" t="s">
        <v>820</v>
      </c>
      <c r="H9" s="608"/>
      <c r="I9" s="609"/>
      <c r="J9" s="609"/>
      <c r="K9" s="609"/>
      <c r="L9" s="609"/>
      <c r="M9" s="609"/>
      <c r="N9" s="609"/>
    </row>
    <row r="10" spans="1:14" s="610" customFormat="1" ht="9.75" customHeight="1">
      <c r="A10" s="1455" t="s">
        <v>821</v>
      </c>
      <c r="B10" s="1448"/>
      <c r="C10" s="1448"/>
      <c r="D10" s="1448"/>
      <c r="E10" s="1448"/>
      <c r="F10" s="1448"/>
      <c r="G10" s="1451"/>
      <c r="H10" s="611"/>
      <c r="I10" s="609"/>
      <c r="J10" s="609"/>
      <c r="K10" s="609"/>
      <c r="L10" s="609"/>
      <c r="M10" s="609"/>
      <c r="N10" s="609"/>
    </row>
    <row r="11" spans="1:14" s="610" customFormat="1" ht="9.75" customHeight="1">
      <c r="A11" s="1455"/>
      <c r="B11" s="1448"/>
      <c r="C11" s="1448"/>
      <c r="D11" s="1448"/>
      <c r="E11" s="1448"/>
      <c r="F11" s="1448"/>
      <c r="G11" s="1451"/>
      <c r="H11" s="611"/>
      <c r="I11" s="609"/>
      <c r="J11" s="609"/>
      <c r="K11" s="609"/>
      <c r="L11" s="609"/>
      <c r="M11" s="609"/>
      <c r="N11" s="609"/>
    </row>
    <row r="12" spans="1:14" s="610" customFormat="1" ht="19.5" customHeight="1" thickBot="1">
      <c r="A12" s="612"/>
      <c r="B12" s="1449"/>
      <c r="C12" s="1449"/>
      <c r="D12" s="1449"/>
      <c r="E12" s="1449"/>
      <c r="F12" s="1449"/>
      <c r="G12" s="1452"/>
      <c r="H12" s="608"/>
      <c r="I12" s="609"/>
      <c r="J12" s="609"/>
      <c r="K12" s="609"/>
      <c r="L12" s="609"/>
      <c r="M12" s="609"/>
      <c r="N12" s="609"/>
    </row>
    <row r="13" spans="1:14" ht="7.5" customHeight="1">
      <c r="A13" s="613"/>
      <c r="B13" s="614"/>
      <c r="C13" s="614"/>
      <c r="D13" s="615"/>
      <c r="E13" s="616"/>
      <c r="F13" s="616"/>
      <c r="G13" s="617"/>
      <c r="H13" s="618"/>
      <c r="I13" s="615"/>
      <c r="J13" s="615"/>
      <c r="K13" s="615"/>
      <c r="L13" s="615"/>
      <c r="M13" s="615"/>
      <c r="N13" s="615"/>
    </row>
    <row r="14" spans="1:14" s="610" customFormat="1" ht="10.5" customHeight="1">
      <c r="A14" s="619" t="s">
        <v>822</v>
      </c>
      <c r="B14" s="620">
        <f aca="true" t="shared" si="0" ref="B14:G14">SUM(B16:B19)</f>
        <v>7434916</v>
      </c>
      <c r="C14" s="620">
        <f t="shared" si="0"/>
        <v>0</v>
      </c>
      <c r="D14" s="621">
        <f t="shared" si="0"/>
        <v>7434916</v>
      </c>
      <c r="E14" s="620">
        <f t="shared" si="0"/>
        <v>7441662</v>
      </c>
      <c r="F14" s="620">
        <f t="shared" si="0"/>
        <v>0</v>
      </c>
      <c r="G14" s="622">
        <f t="shared" si="0"/>
        <v>7441662</v>
      </c>
      <c r="H14" s="608"/>
      <c r="I14" s="623"/>
      <c r="J14" s="623"/>
      <c r="K14" s="623"/>
      <c r="L14" s="623"/>
      <c r="M14" s="623"/>
      <c r="N14" s="623"/>
    </row>
    <row r="15" spans="1:14" s="610" customFormat="1" ht="10.5" customHeight="1">
      <c r="A15" s="624"/>
      <c r="B15" s="625"/>
      <c r="C15" s="625"/>
      <c r="D15" s="626"/>
      <c r="E15" s="620"/>
      <c r="F15" s="620"/>
      <c r="G15" s="622"/>
      <c r="H15" s="609"/>
      <c r="I15" s="627"/>
      <c r="J15" s="627"/>
      <c r="K15" s="627"/>
      <c r="L15" s="627"/>
      <c r="M15" s="627"/>
      <c r="N15" s="627"/>
    </row>
    <row r="16" spans="1:14" s="610" customFormat="1" ht="10.5" customHeight="1">
      <c r="A16" s="628" t="s">
        <v>823</v>
      </c>
      <c r="B16" s="629">
        <v>9899</v>
      </c>
      <c r="C16" s="629"/>
      <c r="D16" s="630">
        <f>SUM(B16:C16)</f>
        <v>9899</v>
      </c>
      <c r="E16" s="631">
        <v>9789</v>
      </c>
      <c r="F16" s="631">
        <v>0</v>
      </c>
      <c r="G16" s="622">
        <f>SUM(E16:F16)</f>
        <v>9789</v>
      </c>
      <c r="H16" s="609"/>
      <c r="I16" s="627"/>
      <c r="J16" s="627"/>
      <c r="K16" s="627"/>
      <c r="L16" s="627"/>
      <c r="M16" s="627"/>
      <c r="N16" s="627"/>
    </row>
    <row r="17" spans="1:14" s="610" customFormat="1" ht="10.5" customHeight="1">
      <c r="A17" s="628" t="s">
        <v>824</v>
      </c>
      <c r="B17" s="629">
        <v>4042946</v>
      </c>
      <c r="C17" s="629"/>
      <c r="D17" s="630">
        <f>SUM(B17:C17)</f>
        <v>4042946</v>
      </c>
      <c r="E17" s="631">
        <v>4179270</v>
      </c>
      <c r="F17" s="631">
        <v>0</v>
      </c>
      <c r="G17" s="622">
        <f>SUM(E17:F17)</f>
        <v>4179270</v>
      </c>
      <c r="H17" s="608"/>
      <c r="I17" s="627"/>
      <c r="J17" s="627"/>
      <c r="K17" s="627"/>
      <c r="L17" s="627"/>
      <c r="M17" s="627"/>
      <c r="N17" s="627"/>
    </row>
    <row r="18" spans="1:14" s="610" customFormat="1" ht="10.5" customHeight="1">
      <c r="A18" s="628" t="s">
        <v>825</v>
      </c>
      <c r="B18" s="629">
        <v>85530</v>
      </c>
      <c r="C18" s="629"/>
      <c r="D18" s="630">
        <f>SUM(B18:C18)</f>
        <v>85530</v>
      </c>
      <c r="E18" s="631">
        <v>82639</v>
      </c>
      <c r="F18" s="631">
        <v>0</v>
      </c>
      <c r="G18" s="622">
        <f>SUM(E18:F18)</f>
        <v>82639</v>
      </c>
      <c r="H18" s="609"/>
      <c r="I18" s="627"/>
      <c r="J18" s="627"/>
      <c r="K18" s="627"/>
      <c r="L18" s="627"/>
      <c r="M18" s="627"/>
      <c r="N18" s="627"/>
    </row>
    <row r="19" spans="1:14" s="610" customFormat="1" ht="33.75" customHeight="1">
      <c r="A19" s="632" t="s">
        <v>826</v>
      </c>
      <c r="B19" s="629">
        <v>3296541</v>
      </c>
      <c r="C19" s="629"/>
      <c r="D19" s="630">
        <f>SUM(B19:C19)</f>
        <v>3296541</v>
      </c>
      <c r="E19" s="631">
        <v>3169964</v>
      </c>
      <c r="F19" s="631">
        <v>0</v>
      </c>
      <c r="G19" s="622">
        <f>SUM(E19:F19)</f>
        <v>3169964</v>
      </c>
      <c r="H19" s="608"/>
      <c r="I19" s="633"/>
      <c r="J19" s="633"/>
      <c r="K19" s="633"/>
      <c r="L19" s="633"/>
      <c r="M19" s="633"/>
      <c r="N19" s="633"/>
    </row>
    <row r="20" spans="1:14" s="610" customFormat="1" ht="10.5" customHeight="1">
      <c r="A20" s="628"/>
      <c r="B20" s="629"/>
      <c r="C20" s="629"/>
      <c r="D20" s="630"/>
      <c r="E20" s="631"/>
      <c r="F20" s="631"/>
      <c r="G20" s="622"/>
      <c r="H20" s="609"/>
      <c r="I20" s="627"/>
      <c r="J20" s="627"/>
      <c r="K20" s="627"/>
      <c r="L20" s="627"/>
      <c r="M20" s="627"/>
      <c r="N20" s="627"/>
    </row>
    <row r="21" spans="1:14" s="610" customFormat="1" ht="10.5" customHeight="1">
      <c r="A21" s="624" t="s">
        <v>827</v>
      </c>
      <c r="B21" s="634">
        <f>SUM(B23:B27)</f>
        <v>1040909</v>
      </c>
      <c r="C21" s="634">
        <f>SUM(C23:C27)</f>
        <v>0</v>
      </c>
      <c r="D21" s="635">
        <f>SUM(B21:C21)</f>
        <v>1040909</v>
      </c>
      <c r="E21" s="634">
        <f>SUM(E23:E27)</f>
        <v>1143766</v>
      </c>
      <c r="F21" s="634"/>
      <c r="G21" s="636">
        <f>SUM(G23:G28)</f>
        <v>1143766</v>
      </c>
      <c r="H21" s="609"/>
      <c r="I21" s="627"/>
      <c r="J21" s="627"/>
      <c r="K21" s="627"/>
      <c r="L21" s="627"/>
      <c r="M21" s="627"/>
      <c r="N21" s="627"/>
    </row>
    <row r="22" spans="1:14" s="610" customFormat="1" ht="10.5" customHeight="1">
      <c r="A22" s="624"/>
      <c r="B22" s="637"/>
      <c r="C22" s="637"/>
      <c r="D22" s="630"/>
      <c r="E22" s="634"/>
      <c r="F22" s="634"/>
      <c r="G22" s="636"/>
      <c r="H22" s="609"/>
      <c r="I22" s="627"/>
      <c r="J22" s="627"/>
      <c r="K22" s="627"/>
      <c r="L22" s="627"/>
      <c r="M22" s="627"/>
      <c r="N22" s="627"/>
    </row>
    <row r="23" spans="1:14" s="610" customFormat="1" ht="10.5" customHeight="1">
      <c r="A23" s="638" t="s">
        <v>828</v>
      </c>
      <c r="B23" s="629">
        <v>8885</v>
      </c>
      <c r="C23" s="629"/>
      <c r="D23" s="630">
        <f>SUM(B23:C23)</f>
        <v>8885</v>
      </c>
      <c r="E23" s="631">
        <v>5453</v>
      </c>
      <c r="F23" s="631">
        <v>0</v>
      </c>
      <c r="G23" s="636">
        <f>SUM(E23:F23)</f>
        <v>5453</v>
      </c>
      <c r="H23" s="609"/>
      <c r="I23" s="627"/>
      <c r="J23" s="627"/>
      <c r="K23" s="627"/>
      <c r="L23" s="627"/>
      <c r="M23" s="627"/>
      <c r="N23" s="627"/>
    </row>
    <row r="24" spans="1:14" s="610" customFormat="1" ht="10.5" customHeight="1">
      <c r="A24" s="638" t="s">
        <v>829</v>
      </c>
      <c r="B24" s="629">
        <v>89593</v>
      </c>
      <c r="C24" s="629"/>
      <c r="D24" s="630">
        <f>SUM(B24:C24)</f>
        <v>89593</v>
      </c>
      <c r="E24" s="631">
        <v>171945</v>
      </c>
      <c r="F24" s="631">
        <v>0</v>
      </c>
      <c r="G24" s="636">
        <f>SUM(E24:F24)</f>
        <v>171945</v>
      </c>
      <c r="H24" s="609"/>
      <c r="I24" s="627"/>
      <c r="J24" s="627"/>
      <c r="K24" s="627"/>
      <c r="L24" s="627"/>
      <c r="M24" s="627"/>
      <c r="N24" s="627"/>
    </row>
    <row r="25" spans="1:14" s="610" customFormat="1" ht="10.5" customHeight="1">
      <c r="A25" s="639" t="s">
        <v>830</v>
      </c>
      <c r="B25" s="640"/>
      <c r="C25" s="640"/>
      <c r="D25" s="630"/>
      <c r="E25" s="641"/>
      <c r="F25" s="641"/>
      <c r="G25" s="636"/>
      <c r="H25" s="609"/>
      <c r="I25" s="627"/>
      <c r="J25" s="627"/>
      <c r="K25" s="627"/>
      <c r="L25" s="627"/>
      <c r="M25" s="627"/>
      <c r="N25" s="627"/>
    </row>
    <row r="26" spans="1:14" s="610" customFormat="1" ht="10.5" customHeight="1">
      <c r="A26" s="639" t="s">
        <v>831</v>
      </c>
      <c r="B26" s="629">
        <v>897100</v>
      </c>
      <c r="C26" s="629"/>
      <c r="D26" s="630">
        <f>SUM(B26:C26)</f>
        <v>897100</v>
      </c>
      <c r="E26" s="631">
        <v>919951</v>
      </c>
      <c r="F26" s="631">
        <v>0</v>
      </c>
      <c r="G26" s="636">
        <f>SUM(E26:F26)</f>
        <v>919951</v>
      </c>
      <c r="H26" s="609"/>
      <c r="I26" s="627"/>
      <c r="J26" s="627"/>
      <c r="K26" s="627"/>
      <c r="L26" s="627"/>
      <c r="M26" s="627"/>
      <c r="N26" s="627"/>
    </row>
    <row r="27" spans="1:14" s="610" customFormat="1" ht="10.5" customHeight="1">
      <c r="A27" s="639" t="s">
        <v>832</v>
      </c>
      <c r="B27" s="629">
        <v>45331</v>
      </c>
      <c r="C27" s="629"/>
      <c r="D27" s="630">
        <f>SUM(B27:C27)</f>
        <v>45331</v>
      </c>
      <c r="E27" s="631">
        <v>46417</v>
      </c>
      <c r="F27" s="631">
        <v>0</v>
      </c>
      <c r="G27" s="636">
        <f>SUM(E27:F27)</f>
        <v>46417</v>
      </c>
      <c r="H27" s="609"/>
      <c r="I27" s="627"/>
      <c r="J27" s="627"/>
      <c r="K27" s="627"/>
      <c r="L27" s="627"/>
      <c r="M27" s="627"/>
      <c r="N27" s="627"/>
    </row>
    <row r="28" spans="1:14" s="610" customFormat="1" ht="10.5" customHeight="1" thickBot="1">
      <c r="A28" s="624"/>
      <c r="B28" s="629"/>
      <c r="C28" s="629"/>
      <c r="D28" s="630"/>
      <c r="E28" s="631"/>
      <c r="F28" s="631"/>
      <c r="G28" s="642"/>
      <c r="H28" s="608"/>
      <c r="I28" s="627"/>
      <c r="J28" s="627"/>
      <c r="K28" s="627"/>
      <c r="L28" s="627"/>
      <c r="M28" s="627"/>
      <c r="N28" s="627"/>
    </row>
    <row r="29" spans="1:14" s="610" customFormat="1" ht="15" customHeight="1" thickBot="1" thickTop="1">
      <c r="A29" s="643" t="s">
        <v>833</v>
      </c>
      <c r="B29" s="644">
        <f aca="true" t="shared" si="1" ref="B29:G29">SUM(B14,B21)</f>
        <v>8475825</v>
      </c>
      <c r="C29" s="644">
        <f t="shared" si="1"/>
        <v>0</v>
      </c>
      <c r="D29" s="645">
        <f t="shared" si="1"/>
        <v>8475825</v>
      </c>
      <c r="E29" s="646">
        <f t="shared" si="1"/>
        <v>8585428</v>
      </c>
      <c r="F29" s="646">
        <f t="shared" si="1"/>
        <v>0</v>
      </c>
      <c r="G29" s="647">
        <f t="shared" si="1"/>
        <v>8585428</v>
      </c>
      <c r="H29" s="648"/>
      <c r="I29" s="649"/>
      <c r="J29" s="649"/>
      <c r="K29" s="649"/>
      <c r="L29" s="649"/>
      <c r="M29" s="649"/>
      <c r="N29" s="649"/>
    </row>
    <row r="30" spans="1:14" s="610" customFormat="1" ht="12" customHeight="1" thickTop="1">
      <c r="A30" s="650"/>
      <c r="B30" s="651"/>
      <c r="C30" s="651"/>
      <c r="D30" s="651"/>
      <c r="E30" s="651"/>
      <c r="F30" s="651"/>
      <c r="G30" s="651"/>
      <c r="H30" s="648"/>
      <c r="I30" s="649"/>
      <c r="J30" s="649"/>
      <c r="K30" s="649"/>
      <c r="L30" s="649"/>
      <c r="M30" s="649"/>
      <c r="N30" s="649"/>
    </row>
    <row r="31" spans="1:14" s="610" customFormat="1" ht="12" customHeight="1" thickBot="1">
      <c r="A31" s="652"/>
      <c r="B31" s="653"/>
      <c r="C31" s="653"/>
      <c r="D31" s="653"/>
      <c r="E31" s="653"/>
      <c r="F31" s="653"/>
      <c r="G31" s="653"/>
      <c r="H31" s="648"/>
      <c r="I31" s="649"/>
      <c r="J31" s="649"/>
      <c r="K31" s="649"/>
      <c r="L31" s="649"/>
      <c r="M31" s="649"/>
      <c r="N31" s="649"/>
    </row>
    <row r="32" spans="1:14" s="610" customFormat="1" ht="9.75" customHeight="1">
      <c r="A32" s="607"/>
      <c r="B32" s="1447" t="s">
        <v>815</v>
      </c>
      <c r="C32" s="1447" t="s">
        <v>816</v>
      </c>
      <c r="D32" s="1447" t="s">
        <v>834</v>
      </c>
      <c r="E32" s="1447" t="s">
        <v>818</v>
      </c>
      <c r="F32" s="1447" t="s">
        <v>819</v>
      </c>
      <c r="G32" s="1450" t="s">
        <v>835</v>
      </c>
      <c r="H32" s="608"/>
      <c r="I32" s="609"/>
      <c r="J32" s="609"/>
      <c r="K32" s="609"/>
      <c r="L32" s="609"/>
      <c r="M32" s="609"/>
      <c r="N32" s="609"/>
    </row>
    <row r="33" spans="1:14" s="610" customFormat="1" ht="9.75" customHeight="1">
      <c r="A33" s="1455" t="s">
        <v>836</v>
      </c>
      <c r="B33" s="1448"/>
      <c r="C33" s="1448"/>
      <c r="D33" s="1448"/>
      <c r="E33" s="1448"/>
      <c r="F33" s="1448"/>
      <c r="G33" s="1451"/>
      <c r="H33" s="611"/>
      <c r="I33" s="609"/>
      <c r="J33" s="609"/>
      <c r="K33" s="609"/>
      <c r="L33" s="609"/>
      <c r="M33" s="609"/>
      <c r="N33" s="609"/>
    </row>
    <row r="34" spans="1:14" s="610" customFormat="1" ht="9.75" customHeight="1">
      <c r="A34" s="1455"/>
      <c r="B34" s="1448"/>
      <c r="C34" s="1448"/>
      <c r="D34" s="1448"/>
      <c r="E34" s="1448"/>
      <c r="F34" s="1448"/>
      <c r="G34" s="1451"/>
      <c r="H34" s="611"/>
      <c r="I34" s="609"/>
      <c r="J34" s="609"/>
      <c r="K34" s="609"/>
      <c r="L34" s="609"/>
      <c r="M34" s="609"/>
      <c r="N34" s="609"/>
    </row>
    <row r="35" spans="1:14" s="610" customFormat="1" ht="10.5" customHeight="1" thickBot="1">
      <c r="A35" s="612"/>
      <c r="B35" s="1449"/>
      <c r="C35" s="1449"/>
      <c r="D35" s="1449"/>
      <c r="E35" s="1449"/>
      <c r="F35" s="1449"/>
      <c r="G35" s="1452"/>
      <c r="H35" s="608"/>
      <c r="I35" s="609"/>
      <c r="J35" s="609"/>
      <c r="K35" s="609"/>
      <c r="L35" s="609"/>
      <c r="M35" s="609"/>
      <c r="N35" s="609"/>
    </row>
    <row r="36" spans="1:13" s="610" customFormat="1" ht="7.5" customHeight="1">
      <c r="A36" s="607"/>
      <c r="B36" s="654"/>
      <c r="C36" s="654"/>
      <c r="D36" s="654"/>
      <c r="E36" s="654"/>
      <c r="F36" s="655"/>
      <c r="G36" s="656"/>
      <c r="M36" s="608"/>
    </row>
    <row r="37" spans="1:13" s="610" customFormat="1" ht="10.5" customHeight="1">
      <c r="A37" s="624" t="s">
        <v>837</v>
      </c>
      <c r="B37" s="634">
        <f aca="true" t="shared" si="2" ref="B37:G37">SUM(B38,B39,B40)</f>
        <v>6560240</v>
      </c>
      <c r="C37" s="634">
        <f t="shared" si="2"/>
        <v>0</v>
      </c>
      <c r="D37" s="634">
        <f t="shared" si="2"/>
        <v>6560240</v>
      </c>
      <c r="E37" s="634">
        <f t="shared" si="2"/>
        <v>6690709</v>
      </c>
      <c r="F37" s="634">
        <f t="shared" si="2"/>
        <v>0</v>
      </c>
      <c r="G37" s="657">
        <f t="shared" si="2"/>
        <v>6690709</v>
      </c>
      <c r="M37" s="608"/>
    </row>
    <row r="38" spans="1:13" s="610" customFormat="1" ht="12.75" customHeight="1">
      <c r="A38" s="639" t="s">
        <v>838</v>
      </c>
      <c r="B38" s="641">
        <v>564421</v>
      </c>
      <c r="C38" s="641"/>
      <c r="D38" s="631">
        <f>SUM(B38:C38)</f>
        <v>564421</v>
      </c>
      <c r="E38" s="641">
        <v>564421</v>
      </c>
      <c r="F38" s="641">
        <v>0</v>
      </c>
      <c r="G38" s="657">
        <f>SUM(E38:F38)</f>
        <v>564421</v>
      </c>
      <c r="M38" s="608"/>
    </row>
    <row r="39" spans="1:7" s="610" customFormat="1" ht="11.25" customHeight="1">
      <c r="A39" s="639" t="s">
        <v>839</v>
      </c>
      <c r="B39" s="641">
        <v>5995819</v>
      </c>
      <c r="C39" s="641"/>
      <c r="D39" s="631">
        <f>SUM(B39:C39)</f>
        <v>5995819</v>
      </c>
      <c r="E39" s="641">
        <v>6126288</v>
      </c>
      <c r="F39" s="641">
        <v>0</v>
      </c>
      <c r="G39" s="657">
        <f>SUM(E39:F39)</f>
        <v>6126288</v>
      </c>
    </row>
    <row r="40" spans="1:7" s="610" customFormat="1" ht="10.5" customHeight="1">
      <c r="A40" s="639" t="s">
        <v>850</v>
      </c>
      <c r="B40" s="641">
        <v>0</v>
      </c>
      <c r="C40" s="641"/>
      <c r="D40" s="641">
        <f>B40</f>
        <v>0</v>
      </c>
      <c r="E40" s="641">
        <v>0</v>
      </c>
      <c r="F40" s="641"/>
      <c r="G40" s="657">
        <f>SUM(E40:F40)</f>
        <v>0</v>
      </c>
    </row>
    <row r="41" spans="1:7" s="610" customFormat="1" ht="10.5" customHeight="1">
      <c r="A41" s="639"/>
      <c r="B41" s="641"/>
      <c r="C41" s="641"/>
      <c r="D41" s="641"/>
      <c r="E41" s="641"/>
      <c r="F41" s="641"/>
      <c r="G41" s="657"/>
    </row>
    <row r="42" spans="1:7" s="610" customFormat="1" ht="10.5" customHeight="1">
      <c r="A42" s="658" t="s">
        <v>840</v>
      </c>
      <c r="B42" s="620">
        <f>SUM(B43,B44)</f>
        <v>884212</v>
      </c>
      <c r="C42" s="620">
        <f>SUM(C43,C44)</f>
        <v>0</v>
      </c>
      <c r="D42" s="620">
        <f>SUM(D43,D44)</f>
        <v>884212</v>
      </c>
      <c r="E42" s="620">
        <f>SUM(E43,E44)</f>
        <v>908708</v>
      </c>
      <c r="F42" s="620">
        <f>SUM(F43,F44)</f>
        <v>0</v>
      </c>
      <c r="G42" s="659">
        <f>SUM(G43:G45)</f>
        <v>908708</v>
      </c>
    </row>
    <row r="43" spans="1:7" s="610" customFormat="1" ht="17.25" customHeight="1">
      <c r="A43" s="660" t="s">
        <v>841</v>
      </c>
      <c r="B43" s="641">
        <v>884212</v>
      </c>
      <c r="C43" s="661"/>
      <c r="D43" s="631">
        <f>SUM(B43:C43)</f>
        <v>884212</v>
      </c>
      <c r="E43" s="641">
        <v>908708</v>
      </c>
      <c r="F43" s="661">
        <v>0</v>
      </c>
      <c r="G43" s="659">
        <f>SUM(E43:F43)</f>
        <v>908708</v>
      </c>
    </row>
    <row r="44" spans="1:7" s="610" customFormat="1" ht="10.5" customHeight="1">
      <c r="A44" s="639" t="s">
        <v>842</v>
      </c>
      <c r="B44" s="641">
        <v>0</v>
      </c>
      <c r="C44" s="641"/>
      <c r="D44" s="631">
        <v>0</v>
      </c>
      <c r="E44" s="641">
        <v>0</v>
      </c>
      <c r="F44" s="641"/>
      <c r="G44" s="659">
        <f>SUM(E44:F44)</f>
        <v>0</v>
      </c>
    </row>
    <row r="45" spans="1:7" s="610" customFormat="1" ht="10.5" customHeight="1">
      <c r="A45" s="639"/>
      <c r="B45" s="641"/>
      <c r="C45" s="641"/>
      <c r="D45" s="641"/>
      <c r="E45" s="641"/>
      <c r="F45" s="641"/>
      <c r="G45" s="662"/>
    </row>
    <row r="46" spans="1:7" s="610" customFormat="1" ht="10.5" customHeight="1">
      <c r="A46" s="658" t="s">
        <v>843</v>
      </c>
      <c r="B46" s="620">
        <f aca="true" t="shared" si="3" ref="B46:G46">SUM(B48:B50)</f>
        <v>1031373</v>
      </c>
      <c r="C46" s="620">
        <f t="shared" si="3"/>
        <v>0</v>
      </c>
      <c r="D46" s="620">
        <f t="shared" si="3"/>
        <v>1031373</v>
      </c>
      <c r="E46" s="620">
        <f t="shared" si="3"/>
        <v>986011</v>
      </c>
      <c r="F46" s="620">
        <f t="shared" si="3"/>
        <v>0</v>
      </c>
      <c r="G46" s="659">
        <f t="shared" si="3"/>
        <v>986011</v>
      </c>
    </row>
    <row r="47" spans="1:7" s="610" customFormat="1" ht="10.5" customHeight="1">
      <c r="A47" s="639"/>
      <c r="B47" s="641"/>
      <c r="C47" s="641"/>
      <c r="D47" s="641"/>
      <c r="E47" s="641"/>
      <c r="F47" s="641"/>
      <c r="G47" s="659"/>
    </row>
    <row r="48" spans="1:7" s="610" customFormat="1" ht="12" customHeight="1">
      <c r="A48" s="639" t="s">
        <v>844</v>
      </c>
      <c r="B48" s="641">
        <v>815347</v>
      </c>
      <c r="C48" s="641"/>
      <c r="D48" s="631">
        <f>SUM(B48:C48)</f>
        <v>815347</v>
      </c>
      <c r="E48" s="641">
        <v>832551</v>
      </c>
      <c r="F48" s="641">
        <v>0</v>
      </c>
      <c r="G48" s="659">
        <f>SUM(E48:F48)</f>
        <v>832551</v>
      </c>
    </row>
    <row r="49" spans="1:7" s="610" customFormat="1" ht="12" customHeight="1">
      <c r="A49" s="639" t="s">
        <v>845</v>
      </c>
      <c r="B49" s="641">
        <v>157807</v>
      </c>
      <c r="C49" s="641"/>
      <c r="D49" s="631">
        <f>SUM(B49:C49)</f>
        <v>157807</v>
      </c>
      <c r="E49" s="641">
        <v>102478</v>
      </c>
      <c r="F49" s="641">
        <v>0</v>
      </c>
      <c r="G49" s="659">
        <f>SUM(E49:F49)</f>
        <v>102478</v>
      </c>
    </row>
    <row r="50" spans="1:7" s="608" customFormat="1" ht="12" customHeight="1">
      <c r="A50" s="639" t="s">
        <v>846</v>
      </c>
      <c r="B50" s="641">
        <v>58219</v>
      </c>
      <c r="C50" s="641"/>
      <c r="D50" s="631">
        <f>SUM(B50:C50)</f>
        <v>58219</v>
      </c>
      <c r="E50" s="641">
        <v>50982</v>
      </c>
      <c r="F50" s="641">
        <v>0</v>
      </c>
      <c r="G50" s="659">
        <f>SUM(E50:F50)</f>
        <v>50982</v>
      </c>
    </row>
    <row r="51" spans="1:7" s="610" customFormat="1" ht="10.5" customHeight="1" thickBot="1">
      <c r="A51" s="639"/>
      <c r="B51" s="641"/>
      <c r="C51" s="641"/>
      <c r="D51" s="641"/>
      <c r="E51" s="641"/>
      <c r="F51" s="641"/>
      <c r="G51" s="662"/>
    </row>
    <row r="52" spans="1:7" s="610" customFormat="1" ht="17.25" customHeight="1" thickBot="1" thickTop="1">
      <c r="A52" s="663" t="s">
        <v>847</v>
      </c>
      <c r="B52" s="646">
        <f aca="true" t="shared" si="4" ref="B52:G52">SUM(B37,B42,B46)</f>
        <v>8475825</v>
      </c>
      <c r="C52" s="646">
        <f t="shared" si="4"/>
        <v>0</v>
      </c>
      <c r="D52" s="646">
        <f t="shared" si="4"/>
        <v>8475825</v>
      </c>
      <c r="E52" s="646">
        <f t="shared" si="4"/>
        <v>8585428</v>
      </c>
      <c r="F52" s="646">
        <f t="shared" si="4"/>
        <v>0</v>
      </c>
      <c r="G52" s="664">
        <f t="shared" si="4"/>
        <v>8585428</v>
      </c>
    </row>
    <row r="53" ht="12" thickTop="1">
      <c r="A53" s="665"/>
    </row>
    <row r="54" ht="11.25">
      <c r="A54" s="665"/>
    </row>
    <row r="55" ht="11.25">
      <c r="A55" s="665"/>
    </row>
    <row r="56" ht="11.25">
      <c r="A56" s="665"/>
    </row>
    <row r="57" spans="1:7" ht="11.25">
      <c r="A57" s="1453" t="s">
        <v>848</v>
      </c>
      <c r="B57" s="1453"/>
      <c r="C57" s="1453"/>
      <c r="D57" s="1453"/>
      <c r="E57" s="1453"/>
      <c r="F57" s="1453"/>
      <c r="G57" s="1453"/>
    </row>
    <row r="58" spans="1:7" ht="11.25">
      <c r="A58" s="1454" t="s">
        <v>849</v>
      </c>
      <c r="B58" s="1454"/>
      <c r="C58" s="1454"/>
      <c r="D58" s="1454"/>
      <c r="E58" s="1454"/>
      <c r="F58" s="1454"/>
      <c r="G58" s="1454"/>
    </row>
    <row r="59" ht="11.25">
      <c r="A59" s="665"/>
    </row>
    <row r="60" ht="11.25">
      <c r="A60" s="665"/>
    </row>
    <row r="61" ht="11.25">
      <c r="A61" s="665"/>
    </row>
    <row r="62" ht="11.25">
      <c r="A62" s="665"/>
    </row>
  </sheetData>
  <sheetProtection/>
  <mergeCells count="16">
    <mergeCell ref="A57:G57"/>
    <mergeCell ref="A58:G58"/>
    <mergeCell ref="A33:A34"/>
    <mergeCell ref="A10:A11"/>
    <mergeCell ref="B9:B12"/>
    <mergeCell ref="C9:C12"/>
    <mergeCell ref="D9:D12"/>
    <mergeCell ref="E9:E12"/>
    <mergeCell ref="F9:F12"/>
    <mergeCell ref="G9:G12"/>
    <mergeCell ref="F32:F35"/>
    <mergeCell ref="G32:G35"/>
    <mergeCell ref="B32:B35"/>
    <mergeCell ref="C32:C35"/>
    <mergeCell ref="D32:D35"/>
    <mergeCell ref="E32:E35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1:J63"/>
  <sheetViews>
    <sheetView showGridLines="0" view="pageBreakPreview" zoomScale="160" zoomScaleSheetLayoutView="160" zoomScalePageLayoutView="0" workbookViewId="0" topLeftCell="A55">
      <selection activeCell="E24" sqref="E24"/>
    </sheetView>
  </sheetViews>
  <sheetFormatPr defaultColWidth="9.00390625" defaultRowHeight="12.75"/>
  <cols>
    <col min="1" max="1" width="4.25390625" style="666" customWidth="1"/>
    <col min="2" max="2" width="47.375" style="666" customWidth="1"/>
    <col min="3" max="3" width="11.75390625" style="666" customWidth="1"/>
    <col min="4" max="4" width="11.75390625" style="667" customWidth="1"/>
    <col min="5" max="5" width="11.75390625" style="666" customWidth="1"/>
    <col min="6" max="6" width="6.125" style="666" customWidth="1"/>
    <col min="7" max="7" width="9.375" style="666" customWidth="1"/>
    <col min="8" max="8" width="8.875" style="666" customWidth="1"/>
    <col min="9" max="9" width="6.375" style="666" customWidth="1"/>
    <col min="10" max="10" width="9.00390625" style="666" customWidth="1"/>
    <col min="11" max="16384" width="9.125" style="666" customWidth="1"/>
  </cols>
  <sheetData>
    <row r="7" ht="10.5" customHeight="1"/>
    <row r="8" ht="10.5" customHeight="1"/>
    <row r="9" ht="10.5" customHeight="1"/>
    <row r="10" ht="10.5" customHeight="1"/>
    <row r="11" ht="9.75" customHeight="1" thickBot="1">
      <c r="E11" s="668" t="s">
        <v>94</v>
      </c>
    </row>
    <row r="12" spans="1:10" s="671" customFormat="1" ht="16.5" customHeight="1" thickBot="1">
      <c r="A12" s="1458" t="s">
        <v>316</v>
      </c>
      <c r="B12" s="1460" t="s">
        <v>719</v>
      </c>
      <c r="C12" s="669" t="s">
        <v>851</v>
      </c>
      <c r="D12" s="669" t="s">
        <v>852</v>
      </c>
      <c r="E12" s="1456" t="s">
        <v>471</v>
      </c>
      <c r="F12" s="670"/>
      <c r="G12" s="670"/>
      <c r="H12" s="670"/>
      <c r="I12" s="670"/>
      <c r="J12" s="670"/>
    </row>
    <row r="13" spans="1:10" s="671" customFormat="1" ht="19.5" customHeight="1" thickBot="1">
      <c r="A13" s="1459"/>
      <c r="B13" s="1461"/>
      <c r="C13" s="1462" t="s">
        <v>853</v>
      </c>
      <c r="D13" s="1463"/>
      <c r="E13" s="1457"/>
      <c r="F13" s="670"/>
      <c r="G13" s="670"/>
      <c r="H13" s="670"/>
      <c r="I13" s="670"/>
      <c r="J13" s="670"/>
    </row>
    <row r="14" spans="1:10" s="671" customFormat="1" ht="15" customHeight="1">
      <c r="A14" s="672" t="s">
        <v>854</v>
      </c>
      <c r="B14" s="673" t="s">
        <v>855</v>
      </c>
      <c r="C14" s="674">
        <v>621607</v>
      </c>
      <c r="D14" s="674">
        <v>608360</v>
      </c>
      <c r="E14" s="675">
        <v>574080</v>
      </c>
      <c r="F14" s="676"/>
      <c r="G14" s="676"/>
      <c r="H14" s="676"/>
      <c r="I14" s="676"/>
      <c r="J14" s="676"/>
    </row>
    <row r="15" spans="1:10" s="671" customFormat="1" ht="15" customHeight="1">
      <c r="A15" s="672" t="s">
        <v>856</v>
      </c>
      <c r="B15" s="677" t="s">
        <v>857</v>
      </c>
      <c r="C15" s="678">
        <v>192523</v>
      </c>
      <c r="D15" s="678">
        <v>174020</v>
      </c>
      <c r="E15" s="679">
        <v>163312</v>
      </c>
      <c r="F15" s="680"/>
      <c r="G15" s="680"/>
      <c r="H15" s="680"/>
      <c r="I15" s="680"/>
      <c r="J15" s="680"/>
    </row>
    <row r="16" spans="1:10" s="671" customFormat="1" ht="15" customHeight="1">
      <c r="A16" s="672" t="s">
        <v>858</v>
      </c>
      <c r="B16" s="681" t="s">
        <v>859</v>
      </c>
      <c r="C16" s="678">
        <v>463362</v>
      </c>
      <c r="D16" s="678">
        <v>538136</v>
      </c>
      <c r="E16" s="679">
        <v>456755</v>
      </c>
      <c r="F16" s="680"/>
      <c r="G16" s="680"/>
      <c r="H16" s="680"/>
      <c r="I16" s="680"/>
      <c r="J16" s="680"/>
    </row>
    <row r="17" spans="1:10" s="671" customFormat="1" ht="15" customHeight="1">
      <c r="A17" s="672" t="s">
        <v>860</v>
      </c>
      <c r="B17" s="682" t="s">
        <v>861</v>
      </c>
      <c r="C17" s="683">
        <v>514874</v>
      </c>
      <c r="D17" s="683">
        <v>513705</v>
      </c>
      <c r="E17" s="684">
        <v>485401</v>
      </c>
      <c r="F17" s="680"/>
      <c r="G17" s="680"/>
      <c r="H17" s="680"/>
      <c r="I17" s="680"/>
      <c r="J17" s="680"/>
    </row>
    <row r="18" spans="1:10" s="671" customFormat="1" ht="15" customHeight="1">
      <c r="A18" s="672" t="s">
        <v>862</v>
      </c>
      <c r="B18" s="682" t="s">
        <v>863</v>
      </c>
      <c r="C18" s="683">
        <v>20728</v>
      </c>
      <c r="D18" s="683">
        <v>24559</v>
      </c>
      <c r="E18" s="684">
        <v>19565</v>
      </c>
      <c r="F18" s="680"/>
      <c r="G18" s="680"/>
      <c r="H18" s="680"/>
      <c r="I18" s="680"/>
      <c r="J18" s="680"/>
    </row>
    <row r="19" spans="1:10" s="671" customFormat="1" ht="15" customHeight="1">
      <c r="A19" s="672" t="s">
        <v>864</v>
      </c>
      <c r="B19" s="681" t="s">
        <v>865</v>
      </c>
      <c r="C19" s="678"/>
      <c r="D19" s="678"/>
      <c r="E19" s="679"/>
      <c r="F19" s="685"/>
      <c r="G19" s="685"/>
      <c r="H19" s="685"/>
      <c r="I19" s="685"/>
      <c r="J19" s="685"/>
    </row>
    <row r="20" spans="1:10" s="671" customFormat="1" ht="15" customHeight="1">
      <c r="A20" s="672" t="s">
        <v>866</v>
      </c>
      <c r="B20" s="681" t="s">
        <v>867</v>
      </c>
      <c r="C20" s="678">
        <v>24845</v>
      </c>
      <c r="D20" s="678">
        <v>152592</v>
      </c>
      <c r="E20" s="679">
        <v>35865</v>
      </c>
      <c r="F20" s="680"/>
      <c r="G20" s="680"/>
      <c r="H20" s="680"/>
      <c r="I20" s="680"/>
      <c r="J20" s="680"/>
    </row>
    <row r="21" spans="1:10" s="671" customFormat="1" ht="15" customHeight="1">
      <c r="A21" s="672" t="s">
        <v>868</v>
      </c>
      <c r="B21" s="681" t="s">
        <v>869</v>
      </c>
      <c r="C21" s="678">
        <v>31260</v>
      </c>
      <c r="D21" s="678">
        <v>549190</v>
      </c>
      <c r="E21" s="679">
        <v>55099</v>
      </c>
      <c r="F21" s="680"/>
      <c r="G21" s="680"/>
      <c r="H21" s="680"/>
      <c r="I21" s="680"/>
      <c r="J21" s="680"/>
    </row>
    <row r="22" spans="1:10" s="671" customFormat="1" ht="15" customHeight="1">
      <c r="A22" s="672" t="s">
        <v>870</v>
      </c>
      <c r="B22" s="681" t="s">
        <v>871</v>
      </c>
      <c r="C22" s="678">
        <v>0</v>
      </c>
      <c r="D22" s="678">
        <v>20870</v>
      </c>
      <c r="E22" s="679">
        <v>10769</v>
      </c>
      <c r="F22" s="680"/>
      <c r="G22" s="680"/>
      <c r="H22" s="680"/>
      <c r="I22" s="680"/>
      <c r="J22" s="680"/>
    </row>
    <row r="23" spans="1:10" s="671" customFormat="1" ht="15" customHeight="1">
      <c r="A23" s="672" t="s">
        <v>126</v>
      </c>
      <c r="B23" s="681" t="s">
        <v>872</v>
      </c>
      <c r="C23" s="678">
        <v>22600</v>
      </c>
      <c r="D23" s="678">
        <v>7100</v>
      </c>
      <c r="E23" s="679">
        <v>4581</v>
      </c>
      <c r="F23" s="680"/>
      <c r="G23" s="680"/>
      <c r="H23" s="680"/>
      <c r="I23" s="680"/>
      <c r="J23" s="680"/>
    </row>
    <row r="24" spans="1:10" s="671" customFormat="1" ht="15" customHeight="1">
      <c r="A24" s="672" t="s">
        <v>127</v>
      </c>
      <c r="B24" s="681" t="s">
        <v>873</v>
      </c>
      <c r="C24" s="678">
        <v>3401</v>
      </c>
      <c r="D24" s="678">
        <v>19671</v>
      </c>
      <c r="E24" s="679">
        <v>16315</v>
      </c>
      <c r="F24" s="680"/>
      <c r="G24" s="680"/>
      <c r="H24" s="680"/>
      <c r="I24" s="680"/>
      <c r="J24" s="680"/>
    </row>
    <row r="25" spans="1:10" s="671" customFormat="1" ht="15" customHeight="1" thickBot="1">
      <c r="A25" s="686" t="s">
        <v>192</v>
      </c>
      <c r="B25" s="682" t="s">
        <v>874</v>
      </c>
      <c r="C25" s="683">
        <v>0</v>
      </c>
      <c r="D25" s="683">
        <v>17068</v>
      </c>
      <c r="E25" s="684">
        <v>16822</v>
      </c>
      <c r="F25" s="680"/>
      <c r="G25" s="680"/>
      <c r="H25" s="680"/>
      <c r="I25" s="680"/>
      <c r="J25" s="680"/>
    </row>
    <row r="26" spans="1:10" s="671" customFormat="1" ht="18" customHeight="1" thickBot="1">
      <c r="A26" s="687" t="s">
        <v>195</v>
      </c>
      <c r="B26" s="688" t="s">
        <v>905</v>
      </c>
      <c r="C26" s="689">
        <f>SUM(C14:C25)</f>
        <v>1895200</v>
      </c>
      <c r="D26" s="689">
        <f>SUM(D14:D25)</f>
        <v>2625271</v>
      </c>
      <c r="E26" s="690">
        <f>SUM(E14:E25)</f>
        <v>1838564</v>
      </c>
      <c r="F26" s="680"/>
      <c r="G26" s="680"/>
      <c r="H26" s="680"/>
      <c r="I26" s="680"/>
      <c r="J26" s="680"/>
    </row>
    <row r="27" spans="1:10" s="671" customFormat="1" ht="15" customHeight="1">
      <c r="A27" s="672" t="s">
        <v>207</v>
      </c>
      <c r="B27" s="691" t="s">
        <v>906</v>
      </c>
      <c r="C27" s="674">
        <v>978</v>
      </c>
      <c r="D27" s="674">
        <v>978</v>
      </c>
      <c r="E27" s="675">
        <v>978</v>
      </c>
      <c r="F27" s="680"/>
      <c r="G27" s="680"/>
      <c r="H27" s="680"/>
      <c r="I27" s="680"/>
      <c r="J27" s="680"/>
    </row>
    <row r="28" spans="1:10" s="671" customFormat="1" ht="15" customHeight="1">
      <c r="A28" s="672" t="s">
        <v>208</v>
      </c>
      <c r="B28" s="692" t="s">
        <v>907</v>
      </c>
      <c r="C28" s="678"/>
      <c r="D28" s="678">
        <v>16219</v>
      </c>
      <c r="E28" s="679">
        <v>9541</v>
      </c>
      <c r="F28" s="680"/>
      <c r="G28" s="680"/>
      <c r="H28" s="680"/>
      <c r="I28" s="680"/>
      <c r="J28" s="680"/>
    </row>
    <row r="29" spans="1:10" s="671" customFormat="1" ht="15" customHeight="1">
      <c r="A29" s="672" t="s">
        <v>209</v>
      </c>
      <c r="B29" s="677" t="s">
        <v>875</v>
      </c>
      <c r="C29" s="678"/>
      <c r="D29" s="678"/>
      <c r="E29" s="679"/>
      <c r="F29" s="680"/>
      <c r="G29" s="680"/>
      <c r="H29" s="680"/>
      <c r="I29" s="680"/>
      <c r="J29" s="680"/>
    </row>
    <row r="30" spans="1:10" s="671" customFormat="1" ht="15" customHeight="1" thickBot="1">
      <c r="A30" s="686" t="s">
        <v>210</v>
      </c>
      <c r="B30" s="682" t="s">
        <v>876</v>
      </c>
      <c r="C30" s="683"/>
      <c r="D30" s="683"/>
      <c r="E30" s="684"/>
      <c r="F30" s="680"/>
      <c r="G30" s="680"/>
      <c r="H30" s="680"/>
      <c r="I30" s="680"/>
      <c r="J30" s="680"/>
    </row>
    <row r="31" spans="1:10" s="671" customFormat="1" ht="18" customHeight="1" thickBot="1">
      <c r="A31" s="687" t="s">
        <v>211</v>
      </c>
      <c r="B31" s="693" t="s">
        <v>908</v>
      </c>
      <c r="C31" s="689">
        <f>SUM(C27:C30)</f>
        <v>978</v>
      </c>
      <c r="D31" s="689">
        <f>SUM(D27:D30)</f>
        <v>17197</v>
      </c>
      <c r="E31" s="690">
        <f>SUM(E27:E30)</f>
        <v>10519</v>
      </c>
      <c r="F31" s="680"/>
      <c r="G31" s="680"/>
      <c r="H31" s="680"/>
      <c r="I31" s="680"/>
      <c r="J31" s="680"/>
    </row>
    <row r="32" spans="1:10" s="671" customFormat="1" ht="18" customHeight="1" thickBot="1">
      <c r="A32" s="687" t="s">
        <v>212</v>
      </c>
      <c r="B32" s="693" t="s">
        <v>909</v>
      </c>
      <c r="C32" s="689">
        <f>C26+C31</f>
        <v>1896178</v>
      </c>
      <c r="D32" s="689">
        <f>D26+D31</f>
        <v>2642468</v>
      </c>
      <c r="E32" s="690">
        <f>E26+E31</f>
        <v>1849083</v>
      </c>
      <c r="F32" s="680"/>
      <c r="G32" s="680"/>
      <c r="H32" s="680"/>
      <c r="I32" s="680"/>
      <c r="J32" s="680"/>
    </row>
    <row r="33" spans="1:10" s="671" customFormat="1" ht="15" customHeight="1">
      <c r="A33" s="672" t="s">
        <v>213</v>
      </c>
      <c r="B33" s="694" t="s">
        <v>877</v>
      </c>
      <c r="C33" s="674">
        <v>22600</v>
      </c>
      <c r="D33" s="674">
        <v>313684</v>
      </c>
      <c r="E33" s="675"/>
      <c r="F33" s="680"/>
      <c r="G33" s="680"/>
      <c r="H33" s="680"/>
      <c r="I33" s="680"/>
      <c r="J33" s="680"/>
    </row>
    <row r="34" spans="1:10" s="671" customFormat="1" ht="15" customHeight="1">
      <c r="A34" s="672" t="s">
        <v>214</v>
      </c>
      <c r="B34" s="695" t="s">
        <v>878</v>
      </c>
      <c r="C34" s="696"/>
      <c r="D34" s="696"/>
      <c r="E34" s="697"/>
      <c r="F34" s="680"/>
      <c r="G34" s="680"/>
      <c r="H34" s="680"/>
      <c r="I34" s="680"/>
      <c r="J34" s="680"/>
    </row>
    <row r="35" spans="1:10" s="671" customFormat="1" ht="15" customHeight="1" thickBot="1">
      <c r="A35" s="686" t="s">
        <v>215</v>
      </c>
      <c r="B35" s="682" t="s">
        <v>879</v>
      </c>
      <c r="C35" s="683"/>
      <c r="D35" s="683"/>
      <c r="E35" s="684">
        <v>1086</v>
      </c>
      <c r="F35" s="680"/>
      <c r="G35" s="680"/>
      <c r="H35" s="680"/>
      <c r="I35" s="680"/>
      <c r="J35" s="680"/>
    </row>
    <row r="36" spans="1:10" s="671" customFormat="1" ht="18" customHeight="1" thickBot="1" thickTop="1">
      <c r="A36" s="698" t="s">
        <v>216</v>
      </c>
      <c r="B36" s="699" t="s">
        <v>910</v>
      </c>
      <c r="C36" s="700">
        <f>SUM(C32:C35)</f>
        <v>1918778</v>
      </c>
      <c r="D36" s="700">
        <f>SUM(D32:D35)</f>
        <v>2956152</v>
      </c>
      <c r="E36" s="701">
        <f>SUM(E32:E35)</f>
        <v>1850169</v>
      </c>
      <c r="F36" s="680"/>
      <c r="G36" s="680"/>
      <c r="H36" s="680"/>
      <c r="I36" s="680"/>
      <c r="J36" s="680"/>
    </row>
    <row r="37" spans="1:10" s="671" customFormat="1" ht="15" customHeight="1" thickTop="1">
      <c r="A37" s="672" t="s">
        <v>217</v>
      </c>
      <c r="B37" s="694" t="s">
        <v>880</v>
      </c>
      <c r="C37" s="674">
        <v>118510</v>
      </c>
      <c r="D37" s="674">
        <v>157961</v>
      </c>
      <c r="E37" s="675">
        <v>191734</v>
      </c>
      <c r="F37" s="680"/>
      <c r="G37" s="680"/>
      <c r="H37" s="680"/>
      <c r="I37" s="680"/>
      <c r="J37" s="680"/>
    </row>
    <row r="38" spans="1:10" s="671" customFormat="1" ht="15" customHeight="1">
      <c r="A38" s="672" t="s">
        <v>287</v>
      </c>
      <c r="B38" s="681" t="s">
        <v>881</v>
      </c>
      <c r="C38" s="678">
        <v>962520</v>
      </c>
      <c r="D38" s="678">
        <v>910145</v>
      </c>
      <c r="E38" s="679">
        <v>915635</v>
      </c>
      <c r="F38" s="680"/>
      <c r="G38" s="680"/>
      <c r="H38" s="680"/>
      <c r="I38" s="680"/>
      <c r="J38" s="680"/>
    </row>
    <row r="39" spans="1:10" s="671" customFormat="1" ht="15" customHeight="1">
      <c r="A39" s="672" t="s">
        <v>289</v>
      </c>
      <c r="B39" s="681" t="s">
        <v>882</v>
      </c>
      <c r="C39" s="678">
        <v>262386</v>
      </c>
      <c r="D39" s="678">
        <v>121262</v>
      </c>
      <c r="E39" s="679">
        <v>102478</v>
      </c>
      <c r="F39" s="680"/>
      <c r="G39" s="680"/>
      <c r="H39" s="680"/>
      <c r="I39" s="680"/>
      <c r="J39" s="680"/>
    </row>
    <row r="40" spans="1:10" s="671" customFormat="1" ht="15" customHeight="1">
      <c r="A40" s="672" t="s">
        <v>291</v>
      </c>
      <c r="B40" s="681" t="s">
        <v>883</v>
      </c>
      <c r="C40" s="678"/>
      <c r="D40" s="678">
        <v>4853</v>
      </c>
      <c r="E40" s="679">
        <v>6632</v>
      </c>
      <c r="F40" s="680"/>
      <c r="G40" s="680"/>
      <c r="H40" s="680"/>
      <c r="I40" s="680"/>
      <c r="J40" s="680"/>
    </row>
    <row r="41" spans="1:10" s="671" customFormat="1" ht="15" customHeight="1">
      <c r="A41" s="672" t="s">
        <v>293</v>
      </c>
      <c r="B41" s="681" t="s">
        <v>884</v>
      </c>
      <c r="C41" s="678">
        <v>27674</v>
      </c>
      <c r="D41" s="678">
        <v>26090</v>
      </c>
      <c r="E41" s="679">
        <v>19275</v>
      </c>
      <c r="F41" s="680"/>
      <c r="G41" s="680"/>
      <c r="H41" s="680"/>
      <c r="I41" s="680"/>
      <c r="J41" s="680"/>
    </row>
    <row r="42" spans="1:10" s="671" customFormat="1" ht="15" customHeight="1">
      <c r="A42" s="672" t="s">
        <v>691</v>
      </c>
      <c r="B42" s="681" t="s">
        <v>885</v>
      </c>
      <c r="C42" s="678">
        <v>50</v>
      </c>
      <c r="D42" s="678">
        <v>7858</v>
      </c>
      <c r="E42" s="679">
        <v>619</v>
      </c>
      <c r="F42" s="680"/>
      <c r="G42" s="680"/>
      <c r="H42" s="680"/>
      <c r="I42" s="680"/>
      <c r="J42" s="680"/>
    </row>
    <row r="43" spans="1:10" s="671" customFormat="1" ht="15" customHeight="1">
      <c r="A43" s="672" t="s">
        <v>692</v>
      </c>
      <c r="B43" s="681" t="s">
        <v>886</v>
      </c>
      <c r="C43" s="678"/>
      <c r="D43" s="678">
        <v>18660</v>
      </c>
      <c r="E43" s="679">
        <v>33370</v>
      </c>
      <c r="F43" s="680"/>
      <c r="G43" s="680"/>
      <c r="H43" s="680"/>
      <c r="I43" s="680"/>
      <c r="J43" s="680"/>
    </row>
    <row r="44" spans="1:10" s="671" customFormat="1" ht="15" customHeight="1">
      <c r="A44" s="672" t="s">
        <v>693</v>
      </c>
      <c r="B44" s="681" t="s">
        <v>887</v>
      </c>
      <c r="C44" s="678">
        <v>20</v>
      </c>
      <c r="D44" s="678">
        <v>31047</v>
      </c>
      <c r="E44" s="679">
        <v>10682</v>
      </c>
      <c r="F44" s="680"/>
      <c r="G44" s="680"/>
      <c r="H44" s="680"/>
      <c r="I44" s="680"/>
      <c r="J44" s="680"/>
    </row>
    <row r="45" spans="1:10" s="671" customFormat="1" ht="15" customHeight="1">
      <c r="A45" s="672" t="s">
        <v>694</v>
      </c>
      <c r="B45" s="681" t="s">
        <v>888</v>
      </c>
      <c r="C45" s="678">
        <v>421339</v>
      </c>
      <c r="D45" s="678">
        <v>590579</v>
      </c>
      <c r="E45" s="679">
        <v>588925</v>
      </c>
      <c r="F45" s="680"/>
      <c r="G45" s="680"/>
      <c r="H45" s="680"/>
      <c r="I45" s="680"/>
      <c r="J45" s="680"/>
    </row>
    <row r="46" spans="1:10" s="671" customFormat="1" ht="15" customHeight="1">
      <c r="A46" s="672" t="s">
        <v>695</v>
      </c>
      <c r="B46" s="681" t="s">
        <v>889</v>
      </c>
      <c r="C46" s="678">
        <v>421339</v>
      </c>
      <c r="D46" s="678">
        <v>590579</v>
      </c>
      <c r="E46" s="679">
        <v>588925</v>
      </c>
      <c r="F46" s="680"/>
      <c r="G46" s="680"/>
      <c r="H46" s="680"/>
      <c r="I46" s="680"/>
      <c r="J46" s="680"/>
    </row>
    <row r="47" spans="1:10" s="671" customFormat="1" ht="15" customHeight="1">
      <c r="A47" s="672" t="s">
        <v>696</v>
      </c>
      <c r="B47" s="681" t="s">
        <v>890</v>
      </c>
      <c r="C47" s="678">
        <v>5390</v>
      </c>
      <c r="D47" s="678">
        <v>5390</v>
      </c>
      <c r="E47" s="679">
        <v>4385</v>
      </c>
      <c r="F47" s="680"/>
      <c r="G47" s="680"/>
      <c r="H47" s="680"/>
      <c r="I47" s="680"/>
      <c r="J47" s="680"/>
    </row>
    <row r="48" spans="1:5" ht="15" customHeight="1" thickBot="1">
      <c r="A48" s="686" t="s">
        <v>735</v>
      </c>
      <c r="B48" s="682" t="s">
        <v>891</v>
      </c>
      <c r="C48" s="683"/>
      <c r="D48" s="683">
        <v>3632</v>
      </c>
      <c r="E48" s="684">
        <v>7141</v>
      </c>
    </row>
    <row r="49" spans="1:5" ht="12" thickBot="1">
      <c r="A49" s="687" t="s">
        <v>804</v>
      </c>
      <c r="B49" s="693" t="s">
        <v>911</v>
      </c>
      <c r="C49" s="689">
        <f>C37+C38+C39+C40+C41+C43+C44+C45+C47+C48</f>
        <v>1797839</v>
      </c>
      <c r="D49" s="689">
        <f>D37+D38+D39+D40+D41+D43+D44+D45+D47+D48</f>
        <v>1869619</v>
      </c>
      <c r="E49" s="690">
        <f>E37+E38+E39+E40+E41+E43+E44+E45+E47+E48</f>
        <v>1880257</v>
      </c>
    </row>
    <row r="50" spans="1:5" ht="15" customHeight="1">
      <c r="A50" s="672" t="s">
        <v>805</v>
      </c>
      <c r="B50" s="702" t="s">
        <v>912</v>
      </c>
      <c r="C50" s="674"/>
      <c r="D50" s="674"/>
      <c r="E50" s="675"/>
    </row>
    <row r="51" spans="1:5" ht="15" customHeight="1">
      <c r="A51" s="672" t="s">
        <v>806</v>
      </c>
      <c r="B51" s="703" t="s">
        <v>913</v>
      </c>
      <c r="C51" s="678">
        <f>120939</f>
        <v>120939</v>
      </c>
      <c r="D51" s="678">
        <f>49558+149842</f>
        <v>199400</v>
      </c>
      <c r="E51" s="679">
        <v>0</v>
      </c>
    </row>
    <row r="52" spans="1:5" ht="15" customHeight="1">
      <c r="A52" s="672" t="s">
        <v>807</v>
      </c>
      <c r="B52" s="677" t="s">
        <v>892</v>
      </c>
      <c r="C52" s="678"/>
      <c r="D52" s="678"/>
      <c r="E52" s="679"/>
    </row>
    <row r="53" spans="1:5" ht="20.25" customHeight="1" thickBot="1">
      <c r="A53" s="686" t="s">
        <v>808</v>
      </c>
      <c r="B53" s="704" t="s">
        <v>893</v>
      </c>
      <c r="C53" s="683"/>
      <c r="D53" s="683"/>
      <c r="E53" s="1241"/>
    </row>
    <row r="54" spans="1:5" ht="12" thickBot="1">
      <c r="A54" s="687" t="s">
        <v>809</v>
      </c>
      <c r="B54" s="693" t="s">
        <v>914</v>
      </c>
      <c r="C54" s="689">
        <f>SUM(C50:C53)</f>
        <v>120939</v>
      </c>
      <c r="D54" s="689">
        <f>SUM(D50:D53)</f>
        <v>199400</v>
      </c>
      <c r="E54" s="690">
        <f>SUM(E50:E53)</f>
        <v>0</v>
      </c>
    </row>
    <row r="55" spans="1:5" ht="12" thickBot="1">
      <c r="A55" s="687" t="s">
        <v>810</v>
      </c>
      <c r="B55" s="693" t="s">
        <v>915</v>
      </c>
      <c r="C55" s="689">
        <f>SUM(C49,C54)</f>
        <v>1918778</v>
      </c>
      <c r="D55" s="689">
        <f>SUM(D49,D54)</f>
        <v>2069019</v>
      </c>
      <c r="E55" s="690">
        <f>SUM(E49,E54)</f>
        <v>1880257</v>
      </c>
    </row>
    <row r="56" spans="1:5" ht="15" customHeight="1">
      <c r="A56" s="672" t="s">
        <v>894</v>
      </c>
      <c r="B56" s="694" t="s">
        <v>895</v>
      </c>
      <c r="C56" s="674">
        <v>0</v>
      </c>
      <c r="D56" s="674">
        <v>887133</v>
      </c>
      <c r="E56" s="675">
        <v>422</v>
      </c>
    </row>
    <row r="57" spans="1:5" ht="15" customHeight="1">
      <c r="A57" s="672" t="s">
        <v>896</v>
      </c>
      <c r="B57" s="695" t="s">
        <v>897</v>
      </c>
      <c r="C57" s="696"/>
      <c r="D57" s="696"/>
      <c r="E57" s="697"/>
    </row>
    <row r="58" spans="1:5" ht="15" customHeight="1" thickBot="1">
      <c r="A58" s="686" t="s">
        <v>898</v>
      </c>
      <c r="B58" s="682" t="s">
        <v>899</v>
      </c>
      <c r="C58" s="683"/>
      <c r="D58" s="683"/>
      <c r="E58" s="684">
        <v>-7273</v>
      </c>
    </row>
    <row r="59" spans="1:5" ht="12.75" thickBot="1" thickTop="1">
      <c r="A59" s="698" t="s">
        <v>900</v>
      </c>
      <c r="B59" s="699" t="s">
        <v>916</v>
      </c>
      <c r="C59" s="700">
        <f>SUM(C55:C58)</f>
        <v>1918778</v>
      </c>
      <c r="D59" s="700">
        <f>SUM(D55:D58)</f>
        <v>2956152</v>
      </c>
      <c r="E59" s="701">
        <f>SUM(E55:E58)</f>
        <v>1873406</v>
      </c>
    </row>
    <row r="60" spans="1:5" ht="25.5" customHeight="1" thickBot="1" thickTop="1">
      <c r="A60" s="698" t="s">
        <v>901</v>
      </c>
      <c r="B60" s="705" t="s">
        <v>917</v>
      </c>
      <c r="C60" s="700">
        <f>C49+C56-C26-C33</f>
        <v>-119961</v>
      </c>
      <c r="D60" s="700">
        <f>D49+D56-D26-D33</f>
        <v>-182203</v>
      </c>
      <c r="E60" s="701">
        <f>E49+E56-E26-E33</f>
        <v>42115</v>
      </c>
    </row>
    <row r="61" spans="1:5" ht="15" customHeight="1" thickBot="1" thickTop="1">
      <c r="A61" s="706" t="s">
        <v>902</v>
      </c>
      <c r="B61" s="707" t="s">
        <v>918</v>
      </c>
      <c r="C61" s="708">
        <f>C54-C31</f>
        <v>119961</v>
      </c>
      <c r="D61" s="708">
        <f>D54-D31</f>
        <v>182203</v>
      </c>
      <c r="E61" s="709">
        <f>E54-E31</f>
        <v>-10519</v>
      </c>
    </row>
    <row r="62" spans="1:5" ht="15" customHeight="1" thickBot="1">
      <c r="A62" s="687" t="s">
        <v>903</v>
      </c>
      <c r="B62" s="693" t="s">
        <v>919</v>
      </c>
      <c r="C62" s="689">
        <f aca="true" t="shared" si="0" ref="C62:E63">C57-C34</f>
        <v>0</v>
      </c>
      <c r="D62" s="689">
        <f t="shared" si="0"/>
        <v>0</v>
      </c>
      <c r="E62" s="690">
        <f t="shared" si="0"/>
        <v>0</v>
      </c>
    </row>
    <row r="63" spans="1:5" ht="15" customHeight="1" thickBot="1">
      <c r="A63" s="687" t="s">
        <v>904</v>
      </c>
      <c r="B63" s="693" t="s">
        <v>920</v>
      </c>
      <c r="C63" s="689">
        <f t="shared" si="0"/>
        <v>0</v>
      </c>
      <c r="D63" s="689">
        <f t="shared" si="0"/>
        <v>0</v>
      </c>
      <c r="E63" s="690">
        <f t="shared" si="0"/>
        <v>-8359</v>
      </c>
    </row>
  </sheetData>
  <sheetProtection/>
  <mergeCells count="4">
    <mergeCell ref="E12:E13"/>
    <mergeCell ref="A12:A13"/>
    <mergeCell ref="B12:B13"/>
    <mergeCell ref="C13:D13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8:L50"/>
  <sheetViews>
    <sheetView showGridLines="0" view="pageBreakPreview" zoomScale="160" zoomScaleSheetLayoutView="160" zoomScalePageLayoutView="0" workbookViewId="0" topLeftCell="A34">
      <selection activeCell="L38" sqref="L38"/>
    </sheetView>
  </sheetViews>
  <sheetFormatPr defaultColWidth="9.00390625" defaultRowHeight="12.75"/>
  <cols>
    <col min="1" max="1" width="4.25390625" style="710" customWidth="1"/>
    <col min="2" max="2" width="23.00390625" style="710" customWidth="1"/>
    <col min="3" max="3" width="9.375" style="710" customWidth="1"/>
    <col min="4" max="4" width="8.00390625" style="710" customWidth="1"/>
    <col min="5" max="5" width="10.125" style="710" customWidth="1"/>
    <col min="6" max="7" width="9.25390625" style="710" customWidth="1"/>
    <col min="8" max="8" width="10.875" style="710" customWidth="1"/>
    <col min="9" max="9" width="9.375" style="710" customWidth="1"/>
    <col min="10" max="10" width="8.875" style="710" customWidth="1"/>
    <col min="11" max="11" width="6.375" style="710" customWidth="1"/>
    <col min="12" max="12" width="9.00390625" style="710" customWidth="1"/>
    <col min="13" max="16384" width="9.125" style="710" customWidth="1"/>
  </cols>
  <sheetData>
    <row r="7" ht="10.5" customHeight="1"/>
    <row r="8" ht="10.5" customHeight="1">
      <c r="H8" s="710" t="s">
        <v>94</v>
      </c>
    </row>
    <row r="9" ht="0.75" customHeight="1" thickBot="1">
      <c r="H9" s="711" t="s">
        <v>94</v>
      </c>
    </row>
    <row r="10" spans="1:8" ht="14.25" customHeight="1">
      <c r="A10" s="1493" t="s">
        <v>921</v>
      </c>
      <c r="B10" s="1487" t="s">
        <v>134</v>
      </c>
      <c r="C10" s="1484" t="s">
        <v>815</v>
      </c>
      <c r="D10" s="1484" t="s">
        <v>816</v>
      </c>
      <c r="E10" s="1484" t="s">
        <v>817</v>
      </c>
      <c r="F10" s="1484" t="s">
        <v>818</v>
      </c>
      <c r="G10" s="1484" t="s">
        <v>819</v>
      </c>
      <c r="H10" s="1496" t="s">
        <v>820</v>
      </c>
    </row>
    <row r="11" spans="1:8" ht="14.25" customHeight="1">
      <c r="A11" s="1494"/>
      <c r="B11" s="1488"/>
      <c r="C11" s="1485"/>
      <c r="D11" s="1485"/>
      <c r="E11" s="1485"/>
      <c r="F11" s="1485"/>
      <c r="G11" s="1485"/>
      <c r="H11" s="1497"/>
    </row>
    <row r="12" spans="1:8" ht="9.75" customHeight="1">
      <c r="A12" s="1494"/>
      <c r="B12" s="1488"/>
      <c r="C12" s="1485"/>
      <c r="D12" s="1485"/>
      <c r="E12" s="1485"/>
      <c r="F12" s="1485"/>
      <c r="G12" s="1485"/>
      <c r="H12" s="1497"/>
    </row>
    <row r="13" spans="1:8" ht="18" customHeight="1" thickBot="1">
      <c r="A13" s="1495"/>
      <c r="B13" s="1489"/>
      <c r="C13" s="1486"/>
      <c r="D13" s="1486"/>
      <c r="E13" s="1486"/>
      <c r="F13" s="1486"/>
      <c r="G13" s="1486"/>
      <c r="H13" s="1498"/>
    </row>
    <row r="14" spans="1:8" ht="21.75" customHeight="1">
      <c r="A14" s="1158" t="s">
        <v>922</v>
      </c>
      <c r="B14" s="1159" t="s">
        <v>923</v>
      </c>
      <c r="C14" s="1178">
        <v>897003</v>
      </c>
      <c r="D14" s="1178"/>
      <c r="E14" s="1178">
        <f>SUM(C14:D14)</f>
        <v>897003</v>
      </c>
      <c r="F14" s="1178">
        <v>919818</v>
      </c>
      <c r="G14" s="1178">
        <v>0</v>
      </c>
      <c r="H14" s="1179">
        <f>SUM(F14:G14)</f>
        <v>919818</v>
      </c>
    </row>
    <row r="15" spans="1:8" ht="5.25" customHeight="1">
      <c r="A15" s="1160"/>
      <c r="B15" s="1161"/>
      <c r="C15" s="1180"/>
      <c r="D15" s="1180"/>
      <c r="E15" s="1180"/>
      <c r="F15" s="1180"/>
      <c r="G15" s="1180"/>
      <c r="H15" s="1181"/>
    </row>
    <row r="16" spans="1:8" ht="22.5" customHeight="1">
      <c r="A16" s="1160" t="s">
        <v>111</v>
      </c>
      <c r="B16" s="1162" t="s">
        <v>707</v>
      </c>
      <c r="C16" s="1180">
        <v>0</v>
      </c>
      <c r="D16" s="1180"/>
      <c r="E16" s="1180">
        <v>0</v>
      </c>
      <c r="F16" s="1180">
        <v>-6678</v>
      </c>
      <c r="G16" s="1180"/>
      <c r="H16" s="1181">
        <v>-6678</v>
      </c>
    </row>
    <row r="17" spans="1:8" ht="0.75" customHeight="1">
      <c r="A17" s="1160"/>
      <c r="B17" s="1161"/>
      <c r="C17" s="1180"/>
      <c r="D17" s="1180"/>
      <c r="E17" s="1180"/>
      <c r="F17" s="1180"/>
      <c r="G17" s="1180"/>
      <c r="H17" s="1181"/>
    </row>
    <row r="18" spans="1:8" ht="10.5" customHeight="1">
      <c r="A18" s="1163" t="s">
        <v>113</v>
      </c>
      <c r="B18" s="1164" t="s">
        <v>925</v>
      </c>
      <c r="C18" s="1469">
        <v>-12791</v>
      </c>
      <c r="D18" s="1182"/>
      <c r="E18" s="1469">
        <f>SUM(C18:D20)</f>
        <v>-12791</v>
      </c>
      <c r="F18" s="1469">
        <v>-4432</v>
      </c>
      <c r="G18" s="1182"/>
      <c r="H18" s="1183"/>
    </row>
    <row r="19" spans="1:8" ht="12.75" customHeight="1">
      <c r="A19" s="1165" t="s">
        <v>926</v>
      </c>
      <c r="B19" s="1166" t="s">
        <v>927</v>
      </c>
      <c r="C19" s="1475"/>
      <c r="D19" s="1180"/>
      <c r="E19" s="1475"/>
      <c r="F19" s="1475"/>
      <c r="G19" s="1180">
        <v>0</v>
      </c>
      <c r="H19" s="1181">
        <f>SUM(F18:G20)</f>
        <v>-4432</v>
      </c>
    </row>
    <row r="20" spans="1:8" ht="10.5" customHeight="1">
      <c r="A20" s="1167" t="s">
        <v>926</v>
      </c>
      <c r="B20" s="1168" t="s">
        <v>708</v>
      </c>
      <c r="C20" s="1468"/>
      <c r="D20" s="1184"/>
      <c r="E20" s="1468"/>
      <c r="F20" s="1468"/>
      <c r="G20" s="1184"/>
      <c r="H20" s="1185"/>
    </row>
    <row r="21" spans="1:8" ht="14.25" customHeight="1">
      <c r="A21" s="1163" t="s">
        <v>115</v>
      </c>
      <c r="B21" s="1164" t="s">
        <v>929</v>
      </c>
      <c r="C21" s="1469">
        <v>0</v>
      </c>
      <c r="D21" s="1182"/>
      <c r="E21" s="1182"/>
      <c r="F21" s="1469">
        <v>867571</v>
      </c>
      <c r="G21" s="1469"/>
      <c r="H21" s="1471">
        <f>F21+G21</f>
        <v>867571</v>
      </c>
    </row>
    <row r="22" spans="1:8" ht="12" customHeight="1">
      <c r="A22" s="1165" t="s">
        <v>926</v>
      </c>
      <c r="B22" s="1166" t="s">
        <v>930</v>
      </c>
      <c r="C22" s="1499"/>
      <c r="D22" s="1180"/>
      <c r="E22" s="1180"/>
      <c r="F22" s="1468"/>
      <c r="G22" s="1483"/>
      <c r="H22" s="1466"/>
    </row>
    <row r="23" spans="1:8" ht="14.25" customHeight="1">
      <c r="A23" s="1163" t="s">
        <v>117</v>
      </c>
      <c r="B23" s="1164" t="s">
        <v>932</v>
      </c>
      <c r="C23" s="1469">
        <v>0</v>
      </c>
      <c r="D23" s="1182"/>
      <c r="E23" s="1182"/>
      <c r="F23" s="1469">
        <v>0</v>
      </c>
      <c r="G23" s="1182"/>
      <c r="H23" s="1471">
        <v>0</v>
      </c>
    </row>
    <row r="24" spans="1:12" s="713" customFormat="1" ht="14.25" customHeight="1" thickBot="1">
      <c r="A24" s="1165" t="s">
        <v>926</v>
      </c>
      <c r="B24" s="1166" t="s">
        <v>933</v>
      </c>
      <c r="C24" s="1491"/>
      <c r="D24" s="1180"/>
      <c r="E24" s="1180"/>
      <c r="F24" s="1491"/>
      <c r="G24" s="1180"/>
      <c r="H24" s="1492"/>
      <c r="I24" s="712"/>
      <c r="J24" s="712"/>
      <c r="K24" s="712"/>
      <c r="L24" s="712"/>
    </row>
    <row r="25" spans="1:12" s="713" customFormat="1" ht="10.5" customHeight="1">
      <c r="A25" s="1169" t="s">
        <v>119</v>
      </c>
      <c r="B25" s="1170" t="s">
        <v>935</v>
      </c>
      <c r="C25" s="1186"/>
      <c r="D25" s="1186"/>
      <c r="E25" s="1186"/>
      <c r="F25" s="1186"/>
      <c r="G25" s="1186"/>
      <c r="H25" s="1187"/>
      <c r="I25" s="714"/>
      <c r="J25" s="714"/>
      <c r="K25" s="714"/>
      <c r="L25" s="714"/>
    </row>
    <row r="26" spans="1:12" s="713" customFormat="1" ht="10.5" customHeight="1">
      <c r="A26" s="1171" t="s">
        <v>936</v>
      </c>
      <c r="B26" s="1172" t="s">
        <v>937</v>
      </c>
      <c r="C26" s="1188">
        <f>C14+C18+C21+C23</f>
        <v>884212</v>
      </c>
      <c r="D26" s="1188"/>
      <c r="E26" s="1188">
        <f>E14+E18+E21+E23</f>
        <v>884212</v>
      </c>
      <c r="F26" s="1188">
        <f>F14+F18-F21-F23+F16</f>
        <v>41137</v>
      </c>
      <c r="G26" s="1180">
        <f>G14+G18-G21-G23</f>
        <v>0</v>
      </c>
      <c r="H26" s="1181">
        <f>H14+H19-H21-H23+H16</f>
        <v>41137</v>
      </c>
      <c r="I26" s="715"/>
      <c r="J26" s="715"/>
      <c r="K26" s="715"/>
      <c r="L26" s="715"/>
    </row>
    <row r="27" spans="1:12" s="713" customFormat="1" ht="12.75" customHeight="1" thickBot="1">
      <c r="A27" s="1173" t="s">
        <v>926</v>
      </c>
      <c r="B27" s="1174" t="s">
        <v>709</v>
      </c>
      <c r="C27" s="1189"/>
      <c r="D27" s="1189"/>
      <c r="E27" s="1189"/>
      <c r="F27" s="1189"/>
      <c r="G27" s="1189"/>
      <c r="H27" s="1190"/>
      <c r="I27" s="715"/>
      <c r="J27" s="715"/>
      <c r="K27" s="715"/>
      <c r="L27" s="715"/>
    </row>
    <row r="28" spans="1:12" s="713" customFormat="1" ht="15.75" customHeight="1">
      <c r="A28" s="1165" t="s">
        <v>121</v>
      </c>
      <c r="B28" s="1166" t="s">
        <v>938</v>
      </c>
      <c r="C28" s="1467">
        <v>2921</v>
      </c>
      <c r="D28" s="1180"/>
      <c r="E28" s="1467">
        <v>2921</v>
      </c>
      <c r="F28" s="1467">
        <v>1714</v>
      </c>
      <c r="G28" s="1467"/>
      <c r="H28" s="1478">
        <f>G28+F28</f>
        <v>1714</v>
      </c>
      <c r="I28" s="715"/>
      <c r="J28" s="715"/>
      <c r="K28" s="715"/>
      <c r="L28" s="715"/>
    </row>
    <row r="29" spans="1:12" s="713" customFormat="1" ht="15.75" customHeight="1">
      <c r="A29" s="1167" t="s">
        <v>926</v>
      </c>
      <c r="B29" s="1168" t="s">
        <v>710</v>
      </c>
      <c r="C29" s="1468"/>
      <c r="D29" s="1184"/>
      <c r="E29" s="1468"/>
      <c r="F29" s="1483"/>
      <c r="G29" s="1483"/>
      <c r="H29" s="1466"/>
      <c r="I29" s="716"/>
      <c r="J29" s="716"/>
      <c r="K29" s="716"/>
      <c r="L29" s="716"/>
    </row>
    <row r="30" spans="1:12" s="713" customFormat="1" ht="10.5" customHeight="1">
      <c r="A30" s="1163" t="s">
        <v>122</v>
      </c>
      <c r="B30" s="1164" t="s">
        <v>939</v>
      </c>
      <c r="C30" s="1469">
        <v>0</v>
      </c>
      <c r="D30" s="1182"/>
      <c r="E30" s="1469">
        <v>0</v>
      </c>
      <c r="F30" s="1469">
        <v>0</v>
      </c>
      <c r="G30" s="1469">
        <v>0</v>
      </c>
      <c r="H30" s="1471">
        <f>SUM(F30:G31)</f>
        <v>0</v>
      </c>
      <c r="I30" s="715"/>
      <c r="J30" s="715"/>
      <c r="K30" s="715"/>
      <c r="L30" s="715"/>
    </row>
    <row r="31" spans="1:12" s="713" customFormat="1" ht="15" customHeight="1" thickBot="1">
      <c r="A31" s="1165" t="s">
        <v>926</v>
      </c>
      <c r="B31" s="1166" t="s">
        <v>711</v>
      </c>
      <c r="C31" s="1475"/>
      <c r="D31" s="1180"/>
      <c r="E31" s="1470"/>
      <c r="F31" s="1475"/>
      <c r="G31" s="1470"/>
      <c r="H31" s="1472"/>
      <c r="I31" s="715"/>
      <c r="J31" s="715"/>
      <c r="K31" s="715"/>
      <c r="L31" s="715"/>
    </row>
    <row r="32" spans="1:12" s="1157" customFormat="1" ht="7.5" customHeight="1">
      <c r="A32" s="1169"/>
      <c r="B32" s="1170"/>
      <c r="C32" s="1191"/>
      <c r="D32" s="1186"/>
      <c r="E32" s="1192"/>
      <c r="F32" s="1193"/>
      <c r="G32" s="1192"/>
      <c r="H32" s="1194"/>
      <c r="I32" s="716"/>
      <c r="J32" s="716"/>
      <c r="K32" s="716"/>
      <c r="L32" s="716"/>
    </row>
    <row r="33" spans="1:12" s="1157" customFormat="1" ht="11.25" customHeight="1">
      <c r="A33" s="1171" t="s">
        <v>124</v>
      </c>
      <c r="B33" s="1172" t="s">
        <v>712</v>
      </c>
      <c r="C33" s="1195">
        <f aca="true" t="shared" si="0" ref="C33:H33">C26+C28+C30</f>
        <v>887133</v>
      </c>
      <c r="D33" s="1195">
        <f t="shared" si="0"/>
        <v>0</v>
      </c>
      <c r="E33" s="1195">
        <f t="shared" si="0"/>
        <v>887133</v>
      </c>
      <c r="F33" s="1195">
        <f t="shared" si="0"/>
        <v>42851</v>
      </c>
      <c r="G33" s="1195">
        <f t="shared" si="0"/>
        <v>0</v>
      </c>
      <c r="H33" s="1195">
        <f t="shared" si="0"/>
        <v>42851</v>
      </c>
      <c r="I33" s="716"/>
      <c r="J33" s="716"/>
      <c r="K33" s="716"/>
      <c r="L33" s="716"/>
    </row>
    <row r="34" spans="1:12" s="1157" customFormat="1" ht="15" customHeight="1" thickBot="1">
      <c r="A34" s="1175"/>
      <c r="B34" s="1176" t="s">
        <v>713</v>
      </c>
      <c r="C34" s="1196"/>
      <c r="D34" s="1189"/>
      <c r="E34" s="1197"/>
      <c r="F34" s="1198"/>
      <c r="G34" s="1197"/>
      <c r="H34" s="1199"/>
      <c r="I34" s="716"/>
      <c r="J34" s="716"/>
      <c r="K34" s="716"/>
      <c r="L34" s="716"/>
    </row>
    <row r="35" spans="1:12" s="713" customFormat="1" ht="10.5" customHeight="1">
      <c r="A35" s="1165" t="s">
        <v>126</v>
      </c>
      <c r="B35" s="1166" t="s">
        <v>940</v>
      </c>
      <c r="C35" s="1180"/>
      <c r="D35" s="1180"/>
      <c r="E35" s="1180"/>
      <c r="F35" s="1481">
        <v>0</v>
      </c>
      <c r="G35" s="1180"/>
      <c r="H35" s="1464">
        <f>F35+G36</f>
        <v>0</v>
      </c>
      <c r="I35" s="715"/>
      <c r="J35" s="715"/>
      <c r="K35" s="715"/>
      <c r="L35" s="715"/>
    </row>
    <row r="36" spans="1:12" s="713" customFormat="1" ht="10.5" customHeight="1">
      <c r="A36" s="1165" t="s">
        <v>926</v>
      </c>
      <c r="B36" s="1166" t="s">
        <v>941</v>
      </c>
      <c r="C36" s="1180">
        <v>0</v>
      </c>
      <c r="D36" s="1180"/>
      <c r="E36" s="1180">
        <v>0</v>
      </c>
      <c r="F36" s="1482"/>
      <c r="G36" s="1180"/>
      <c r="H36" s="1465"/>
      <c r="I36" s="715"/>
      <c r="J36" s="715"/>
      <c r="K36" s="715"/>
      <c r="L36" s="715"/>
    </row>
    <row r="37" spans="1:12" s="713" customFormat="1" ht="10.5" customHeight="1">
      <c r="A37" s="1167" t="s">
        <v>942</v>
      </c>
      <c r="B37" s="1168" t="s">
        <v>943</v>
      </c>
      <c r="C37" s="1184"/>
      <c r="D37" s="1184"/>
      <c r="E37" s="1184"/>
      <c r="F37" s="1483"/>
      <c r="G37" s="1184"/>
      <c r="H37" s="1466"/>
      <c r="I37" s="715"/>
      <c r="J37" s="715"/>
      <c r="K37" s="715"/>
      <c r="L37" s="715"/>
    </row>
    <row r="38" spans="1:12" s="713" customFormat="1" ht="10.5" customHeight="1">
      <c r="A38" s="1163" t="s">
        <v>127</v>
      </c>
      <c r="B38" s="1164" t="s">
        <v>944</v>
      </c>
      <c r="C38" s="1469">
        <v>0</v>
      </c>
      <c r="D38" s="1182"/>
      <c r="E38" s="1469">
        <f>SUM(C38:D40)</f>
        <v>0</v>
      </c>
      <c r="F38" s="1469">
        <v>0</v>
      </c>
      <c r="G38" s="1469"/>
      <c r="H38" s="1471">
        <f>SUM(F38:G40)</f>
        <v>0</v>
      </c>
      <c r="I38" s="715"/>
      <c r="J38" s="715"/>
      <c r="K38" s="715"/>
      <c r="L38" s="715"/>
    </row>
    <row r="39" spans="1:12" s="713" customFormat="1" ht="10.5" customHeight="1">
      <c r="A39" s="1165" t="s">
        <v>926</v>
      </c>
      <c r="B39" s="1166" t="s">
        <v>945</v>
      </c>
      <c r="C39" s="1476"/>
      <c r="D39" s="1180"/>
      <c r="E39" s="1470"/>
      <c r="F39" s="1475"/>
      <c r="G39" s="1470"/>
      <c r="H39" s="1472"/>
      <c r="I39" s="715"/>
      <c r="J39" s="715"/>
      <c r="K39" s="715"/>
      <c r="L39" s="715"/>
    </row>
    <row r="40" spans="1:12" s="713" customFormat="1" ht="10.5" customHeight="1" thickBot="1">
      <c r="A40" s="1165" t="s">
        <v>926</v>
      </c>
      <c r="B40" s="1166" t="s">
        <v>714</v>
      </c>
      <c r="C40" s="1477"/>
      <c r="D40" s="1180"/>
      <c r="E40" s="1480"/>
      <c r="F40" s="1474"/>
      <c r="G40" s="1480"/>
      <c r="H40" s="1479"/>
      <c r="I40" s="715"/>
      <c r="J40" s="715"/>
      <c r="K40" s="715"/>
      <c r="L40" s="715"/>
    </row>
    <row r="41" spans="1:12" s="713" customFormat="1" ht="10.5" customHeight="1">
      <c r="A41" s="1169" t="s">
        <v>192</v>
      </c>
      <c r="B41" s="1170" t="s">
        <v>946</v>
      </c>
      <c r="C41" s="1473">
        <f>C33+C36+C38</f>
        <v>887133</v>
      </c>
      <c r="D41" s="1186"/>
      <c r="E41" s="1473">
        <f>SUM(C41:D42)</f>
        <v>887133</v>
      </c>
      <c r="F41" s="1473">
        <f>F33+F35+F38</f>
        <v>42851</v>
      </c>
      <c r="G41" s="1186"/>
      <c r="H41" s="1478">
        <f>H33+H35+H38</f>
        <v>42851</v>
      </c>
      <c r="I41" s="715"/>
      <c r="J41" s="715"/>
      <c r="K41" s="715"/>
      <c r="L41" s="715"/>
    </row>
    <row r="42" spans="1:12" s="713" customFormat="1" ht="12.75" customHeight="1" thickBot="1">
      <c r="A42" s="1173" t="s">
        <v>926</v>
      </c>
      <c r="B42" s="1174" t="s">
        <v>716</v>
      </c>
      <c r="C42" s="1474"/>
      <c r="D42" s="1189"/>
      <c r="E42" s="1474"/>
      <c r="F42" s="1474"/>
      <c r="G42" s="1189"/>
      <c r="H42" s="1479"/>
      <c r="I42" s="715"/>
      <c r="J42" s="715"/>
      <c r="K42" s="715"/>
      <c r="L42" s="715"/>
    </row>
    <row r="43" spans="1:12" s="713" customFormat="1" ht="10.5" customHeight="1">
      <c r="A43" s="1165" t="s">
        <v>195</v>
      </c>
      <c r="B43" s="1166" t="s">
        <v>715</v>
      </c>
      <c r="C43" s="1180"/>
      <c r="D43" s="1180"/>
      <c r="E43" s="1180"/>
      <c r="F43" s="1180"/>
      <c r="G43" s="1180"/>
      <c r="H43" s="1200"/>
      <c r="I43" s="715"/>
      <c r="J43" s="715"/>
      <c r="K43" s="715"/>
      <c r="L43" s="715"/>
    </row>
    <row r="44" spans="1:12" s="713" customFormat="1" ht="10.5" customHeight="1">
      <c r="A44" s="1165" t="s">
        <v>926</v>
      </c>
      <c r="B44" s="1166" t="s">
        <v>947</v>
      </c>
      <c r="C44" s="1180">
        <v>0</v>
      </c>
      <c r="D44" s="1180"/>
      <c r="E44" s="1180">
        <v>0</v>
      </c>
      <c r="F44" s="1180">
        <v>0</v>
      </c>
      <c r="G44" s="1180"/>
      <c r="H44" s="1201">
        <v>0</v>
      </c>
      <c r="I44" s="715"/>
      <c r="J44" s="715"/>
      <c r="K44" s="715"/>
      <c r="L44" s="715"/>
    </row>
    <row r="45" spans="1:12" s="713" customFormat="1" ht="10.5" customHeight="1">
      <c r="A45" s="1165" t="s">
        <v>936</v>
      </c>
      <c r="B45" s="1166" t="s">
        <v>948</v>
      </c>
      <c r="C45" s="1180"/>
      <c r="D45" s="1180"/>
      <c r="E45" s="1180"/>
      <c r="F45" s="1180"/>
      <c r="G45" s="1180"/>
      <c r="H45" s="1202"/>
      <c r="I45" s="715"/>
      <c r="J45" s="715"/>
      <c r="K45" s="715"/>
      <c r="L45" s="715"/>
    </row>
    <row r="46" spans="1:12" s="713" customFormat="1" ht="24" customHeight="1">
      <c r="A46" s="1207" t="s">
        <v>207</v>
      </c>
      <c r="B46" s="1208" t="s">
        <v>717</v>
      </c>
      <c r="C46" s="1209">
        <v>887133</v>
      </c>
      <c r="D46" s="1209"/>
      <c r="E46" s="1209">
        <f>SUM(C46:D46)</f>
        <v>887133</v>
      </c>
      <c r="F46" s="1209">
        <v>42851</v>
      </c>
      <c r="G46" s="1209"/>
      <c r="H46" s="1210">
        <f>SUM(F46:G46)</f>
        <v>42851</v>
      </c>
      <c r="I46" s="715"/>
      <c r="J46" s="715"/>
      <c r="K46" s="715"/>
      <c r="L46" s="715"/>
    </row>
    <row r="47" spans="1:12" s="713" customFormat="1" ht="25.5" customHeight="1" thickBot="1">
      <c r="A47" s="1177" t="s">
        <v>208</v>
      </c>
      <c r="B47" s="1204" t="s">
        <v>718</v>
      </c>
      <c r="C47" s="1203">
        <v>0</v>
      </c>
      <c r="D47" s="1203"/>
      <c r="E47" s="1205">
        <f>SUM(C47:D47)</f>
        <v>0</v>
      </c>
      <c r="F47" s="1203">
        <v>0</v>
      </c>
      <c r="G47" s="1203"/>
      <c r="H47" s="1206">
        <f>SUM(F47:G47)</f>
        <v>0</v>
      </c>
      <c r="I47" s="715"/>
      <c r="J47" s="715"/>
      <c r="K47" s="715"/>
      <c r="L47" s="715"/>
    </row>
    <row r="48" spans="1:8" ht="11.25">
      <c r="A48" s="717"/>
      <c r="B48" s="717"/>
      <c r="C48" s="717"/>
      <c r="D48" s="717"/>
      <c r="E48" s="717"/>
      <c r="F48" s="717"/>
      <c r="G48" s="717"/>
      <c r="H48" s="717"/>
    </row>
    <row r="49" spans="1:8" ht="11.25">
      <c r="A49" s="1490" t="s">
        <v>949</v>
      </c>
      <c r="B49" s="1490"/>
      <c r="C49" s="1490"/>
      <c r="D49" s="1490"/>
      <c r="E49" s="1490"/>
      <c r="F49" s="1490"/>
      <c r="G49" s="1490"/>
      <c r="H49" s="1490"/>
    </row>
    <row r="50" spans="1:8" ht="11.25">
      <c r="A50" s="1490" t="s">
        <v>849</v>
      </c>
      <c r="B50" s="1490"/>
      <c r="C50" s="1490"/>
      <c r="D50" s="1490"/>
      <c r="E50" s="1490"/>
      <c r="F50" s="1490"/>
      <c r="G50" s="1490"/>
      <c r="H50" s="1490"/>
    </row>
  </sheetData>
  <sheetProtection/>
  <mergeCells count="41">
    <mergeCell ref="C21:C22"/>
    <mergeCell ref="C23:C24"/>
    <mergeCell ref="H21:H22"/>
    <mergeCell ref="G21:G22"/>
    <mergeCell ref="A10:A13"/>
    <mergeCell ref="F10:F13"/>
    <mergeCell ref="G10:G13"/>
    <mergeCell ref="H10:H13"/>
    <mergeCell ref="C10:C13"/>
    <mergeCell ref="C18:C20"/>
    <mergeCell ref="E18:E20"/>
    <mergeCell ref="B10:B13"/>
    <mergeCell ref="A49:H49"/>
    <mergeCell ref="A50:H50"/>
    <mergeCell ref="F18:F20"/>
    <mergeCell ref="F21:F22"/>
    <mergeCell ref="F30:F31"/>
    <mergeCell ref="F38:F40"/>
    <mergeCell ref="C28:C29"/>
    <mergeCell ref="F28:F29"/>
    <mergeCell ref="H28:H29"/>
    <mergeCell ref="H41:H42"/>
    <mergeCell ref="G38:G40"/>
    <mergeCell ref="H38:H40"/>
    <mergeCell ref="E38:E40"/>
    <mergeCell ref="F35:F37"/>
    <mergeCell ref="D10:D13"/>
    <mergeCell ref="E10:E13"/>
    <mergeCell ref="G28:G29"/>
    <mergeCell ref="F23:F24"/>
    <mergeCell ref="H23:H24"/>
    <mergeCell ref="H35:H37"/>
    <mergeCell ref="E28:E29"/>
    <mergeCell ref="G30:G31"/>
    <mergeCell ref="H30:H31"/>
    <mergeCell ref="E30:E31"/>
    <mergeCell ref="C41:C42"/>
    <mergeCell ref="C30:C31"/>
    <mergeCell ref="C38:C40"/>
    <mergeCell ref="E41:E42"/>
    <mergeCell ref="F41:F4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0:H43"/>
  <sheetViews>
    <sheetView showGridLines="0" view="pageBreakPreview" zoomScale="115" zoomScaleSheetLayoutView="115" zoomScalePageLayoutView="0" workbookViewId="0" topLeftCell="A16">
      <selection activeCell="L18" sqref="L18"/>
    </sheetView>
  </sheetViews>
  <sheetFormatPr defaultColWidth="9.00390625" defaultRowHeight="12.75"/>
  <cols>
    <col min="1" max="1" width="4.25390625" style="718" customWidth="1"/>
    <col min="2" max="2" width="30.25390625" style="718" customWidth="1"/>
    <col min="3" max="3" width="13.00390625" style="718" customWidth="1"/>
    <col min="4" max="4" width="9.125" style="718" customWidth="1"/>
    <col min="5" max="5" width="12.125" style="718" customWidth="1"/>
    <col min="6" max="6" width="11.75390625" style="718" customWidth="1"/>
    <col min="7" max="7" width="10.375" style="718" customWidth="1"/>
    <col min="8" max="8" width="15.375" style="718" customWidth="1"/>
    <col min="9" max="16384" width="9.125" style="718" customWidth="1"/>
  </cols>
  <sheetData>
    <row r="10" ht="11.25" thickBot="1">
      <c r="H10" s="719" t="s">
        <v>163</v>
      </c>
    </row>
    <row r="11" spans="1:8" ht="10.5">
      <c r="A11" s="1500" t="s">
        <v>316</v>
      </c>
      <c r="B11" s="720"/>
      <c r="C11" s="721" t="s">
        <v>950</v>
      </c>
      <c r="D11" s="721" t="s">
        <v>951</v>
      </c>
      <c r="E11" s="721" t="s">
        <v>952</v>
      </c>
      <c r="F11" s="721" t="s">
        <v>953</v>
      </c>
      <c r="G11" s="721" t="s">
        <v>951</v>
      </c>
      <c r="H11" s="722" t="s">
        <v>954</v>
      </c>
    </row>
    <row r="12" spans="1:8" ht="10.5" customHeight="1">
      <c r="A12" s="1501"/>
      <c r="B12" s="723" t="s">
        <v>164</v>
      </c>
      <c r="C12" s="724" t="s">
        <v>958</v>
      </c>
      <c r="D12" s="724" t="s">
        <v>959</v>
      </c>
      <c r="E12" s="724" t="s">
        <v>960</v>
      </c>
      <c r="F12" s="724" t="s">
        <v>961</v>
      </c>
      <c r="G12" s="724" t="s">
        <v>959</v>
      </c>
      <c r="H12" s="725" t="s">
        <v>960</v>
      </c>
    </row>
    <row r="13" spans="1:8" ht="10.5" customHeight="1">
      <c r="A13" s="1501"/>
      <c r="B13" s="723"/>
      <c r="C13" s="724" t="s">
        <v>962</v>
      </c>
      <c r="D13" s="724" t="s">
        <v>963</v>
      </c>
      <c r="E13" s="724" t="s">
        <v>964</v>
      </c>
      <c r="F13" s="724" t="s">
        <v>962</v>
      </c>
      <c r="G13" s="724" t="s">
        <v>965</v>
      </c>
      <c r="H13" s="725" t="s">
        <v>964</v>
      </c>
    </row>
    <row r="14" spans="1:8" ht="11.25" thickBot="1">
      <c r="A14" s="1502"/>
      <c r="B14" s="726"/>
      <c r="C14" s="727" t="s">
        <v>966</v>
      </c>
      <c r="D14" s="727"/>
      <c r="E14" s="727" t="s">
        <v>967</v>
      </c>
      <c r="F14" s="727" t="s">
        <v>966</v>
      </c>
      <c r="G14" s="727"/>
      <c r="H14" s="728" t="s">
        <v>967</v>
      </c>
    </row>
    <row r="15" spans="1:8" ht="23.25" customHeight="1">
      <c r="A15" s="729" t="s">
        <v>922</v>
      </c>
      <c r="B15" s="730" t="s">
        <v>968</v>
      </c>
      <c r="C15" s="731"/>
      <c r="D15" s="731"/>
      <c r="E15" s="731"/>
      <c r="F15" s="731"/>
      <c r="G15" s="731"/>
      <c r="H15" s="732"/>
    </row>
    <row r="16" spans="1:8" ht="21.75" customHeight="1" thickBot="1">
      <c r="A16" s="733" t="s">
        <v>924</v>
      </c>
      <c r="B16" s="734" t="s">
        <v>969</v>
      </c>
      <c r="C16" s="735"/>
      <c r="D16" s="735"/>
      <c r="E16" s="735"/>
      <c r="F16" s="735"/>
      <c r="G16" s="735"/>
      <c r="H16" s="736"/>
    </row>
    <row r="17" spans="1:8" ht="27.75" customHeight="1" thickBot="1">
      <c r="A17" s="737" t="s">
        <v>928</v>
      </c>
      <c r="B17" s="738" t="s">
        <v>970</v>
      </c>
      <c r="C17" s="739"/>
      <c r="D17" s="739"/>
      <c r="E17" s="739"/>
      <c r="F17" s="739"/>
      <c r="G17" s="739"/>
      <c r="H17" s="740"/>
    </row>
    <row r="18" spans="1:8" ht="27" customHeight="1">
      <c r="A18" s="741" t="s">
        <v>931</v>
      </c>
      <c r="B18" s="730" t="s">
        <v>971</v>
      </c>
      <c r="C18" s="731"/>
      <c r="D18" s="731"/>
      <c r="E18" s="731"/>
      <c r="F18" s="731"/>
      <c r="G18" s="731"/>
      <c r="H18" s="732"/>
    </row>
    <row r="19" spans="1:8" ht="25.5" customHeight="1">
      <c r="A19" s="742" t="s">
        <v>934</v>
      </c>
      <c r="B19" s="743" t="s">
        <v>972</v>
      </c>
      <c r="C19" s="744"/>
      <c r="D19" s="744"/>
      <c r="E19" s="744"/>
      <c r="F19" s="744"/>
      <c r="G19" s="744"/>
      <c r="H19" s="745"/>
    </row>
    <row r="20" spans="1:8" ht="32.25" customHeight="1" thickBot="1">
      <c r="A20" s="746" t="s">
        <v>973</v>
      </c>
      <c r="B20" s="747" t="s">
        <v>981</v>
      </c>
      <c r="C20" s="735"/>
      <c r="D20" s="735"/>
      <c r="E20" s="735"/>
      <c r="F20" s="735"/>
      <c r="G20" s="735"/>
      <c r="H20" s="736"/>
    </row>
    <row r="21" spans="1:8" ht="33" customHeight="1" thickBot="1">
      <c r="A21" s="737" t="s">
        <v>974</v>
      </c>
      <c r="B21" s="748" t="s">
        <v>982</v>
      </c>
      <c r="C21" s="739"/>
      <c r="D21" s="739"/>
      <c r="E21" s="739"/>
      <c r="F21" s="739"/>
      <c r="G21" s="739"/>
      <c r="H21" s="740"/>
    </row>
    <row r="22" spans="1:8" ht="27" customHeight="1">
      <c r="A22" s="749" t="s">
        <v>975</v>
      </c>
      <c r="B22" s="750" t="s">
        <v>976</v>
      </c>
      <c r="C22" s="751"/>
      <c r="D22" s="751"/>
      <c r="E22" s="751"/>
      <c r="F22" s="751"/>
      <c r="G22" s="751"/>
      <c r="H22" s="752"/>
    </row>
    <row r="23" spans="1:8" ht="16.5" customHeight="1" thickBot="1">
      <c r="A23" s="753" t="s">
        <v>977</v>
      </c>
      <c r="B23" s="754" t="s">
        <v>978</v>
      </c>
      <c r="C23" s="755"/>
      <c r="D23" s="755"/>
      <c r="E23" s="755"/>
      <c r="F23" s="755"/>
      <c r="G23" s="755"/>
      <c r="H23" s="756"/>
    </row>
    <row r="24" spans="1:8" ht="10.5">
      <c r="A24" s="757"/>
      <c r="H24" s="757"/>
    </row>
    <row r="25" spans="1:8" ht="12.75" customHeight="1">
      <c r="A25" s="757" t="s">
        <v>979</v>
      </c>
      <c r="H25" s="757"/>
    </row>
    <row r="26" spans="1:8" ht="12.75" customHeight="1">
      <c r="A26" s="757"/>
      <c r="H26" s="757"/>
    </row>
    <row r="27" spans="1:8" ht="12.75" customHeight="1">
      <c r="A27" s="758"/>
      <c r="B27" s="758"/>
      <c r="C27" s="758"/>
      <c r="D27" s="758"/>
      <c r="E27" s="758"/>
      <c r="F27" s="758"/>
      <c r="G27" s="758"/>
      <c r="H27" s="758"/>
    </row>
    <row r="28" spans="1:8" ht="12.75" customHeight="1">
      <c r="A28" s="1503" t="s">
        <v>848</v>
      </c>
      <c r="B28" s="1503"/>
      <c r="C28" s="1503"/>
      <c r="D28" s="1503"/>
      <c r="E28" s="1503"/>
      <c r="F28" s="1503"/>
      <c r="G28" s="1503"/>
      <c r="H28" s="1503"/>
    </row>
    <row r="29" spans="1:8" ht="12.75" customHeight="1">
      <c r="A29" s="1503" t="s">
        <v>980</v>
      </c>
      <c r="B29" s="1503"/>
      <c r="C29" s="1503"/>
      <c r="D29" s="1503"/>
      <c r="E29" s="1503"/>
      <c r="F29" s="1503"/>
      <c r="G29" s="1503"/>
      <c r="H29" s="1503"/>
    </row>
    <row r="30" spans="1:8" ht="12.75" customHeight="1">
      <c r="A30" s="757"/>
      <c r="H30" s="757"/>
    </row>
    <row r="31" spans="1:8" ht="12.75" customHeight="1">
      <c r="A31" s="757"/>
      <c r="H31" s="757"/>
    </row>
    <row r="32" spans="1:8" ht="12.75" customHeight="1">
      <c r="A32" s="757"/>
      <c r="H32" s="757"/>
    </row>
    <row r="33" spans="1:8" ht="12.75" customHeight="1">
      <c r="A33" s="757"/>
      <c r="H33" s="757"/>
    </row>
    <row r="34" spans="1:8" ht="12.75" customHeight="1">
      <c r="A34" s="757"/>
      <c r="H34" s="757"/>
    </row>
    <row r="35" spans="1:8" ht="10.5">
      <c r="A35" s="757"/>
      <c r="H35" s="757"/>
    </row>
    <row r="36" spans="1:8" ht="10.5">
      <c r="A36" s="757"/>
      <c r="H36" s="757"/>
    </row>
    <row r="37" spans="1:8" ht="10.5">
      <c r="A37" s="757"/>
      <c r="H37" s="757"/>
    </row>
    <row r="38" spans="1:8" ht="10.5">
      <c r="A38" s="757"/>
      <c r="H38" s="757"/>
    </row>
    <row r="39" spans="1:8" ht="10.5">
      <c r="A39" s="757"/>
      <c r="H39" s="757"/>
    </row>
    <row r="40" spans="1:8" ht="10.5">
      <c r="A40" s="757"/>
      <c r="H40" s="757"/>
    </row>
    <row r="41" ht="10.5">
      <c r="H41" s="757"/>
    </row>
    <row r="42" ht="10.5">
      <c r="H42" s="757"/>
    </row>
    <row r="43" ht="10.5">
      <c r="H43" s="757"/>
    </row>
  </sheetData>
  <sheetProtection/>
  <mergeCells count="3">
    <mergeCell ref="A11:A14"/>
    <mergeCell ref="A28:H28"/>
    <mergeCell ref="A29:H29"/>
  </mergeCells>
  <printOptions/>
  <pageMargins left="1.1811023622047245" right="1.1811023622047245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145" zoomScaleSheetLayoutView="145" zoomScalePageLayoutView="0" workbookViewId="0" topLeftCell="A45">
      <selection activeCell="L18" sqref="L18"/>
    </sheetView>
  </sheetViews>
  <sheetFormatPr defaultColWidth="9.00390625" defaultRowHeight="12.75"/>
  <cols>
    <col min="1" max="1" width="4.625" style="948" customWidth="1"/>
    <col min="2" max="2" width="39.75390625" style="948" customWidth="1"/>
    <col min="3" max="3" width="11.625" style="948" customWidth="1"/>
    <col min="4" max="4" width="12.25390625" style="948" customWidth="1"/>
    <col min="5" max="5" width="12.75390625" style="948" customWidth="1"/>
  </cols>
  <sheetData>
    <row r="1" spans="1:5" ht="12.75">
      <c r="A1" s="981"/>
      <c r="B1" s="981"/>
      <c r="C1" s="982"/>
      <c r="D1" s="982"/>
      <c r="E1" s="983"/>
    </row>
    <row r="2" spans="1:5" ht="10.5" customHeight="1">
      <c r="A2" s="981"/>
      <c r="B2" s="981"/>
      <c r="C2" s="982"/>
      <c r="D2" s="982"/>
      <c r="E2" s="983"/>
    </row>
    <row r="3" spans="1:5" ht="13.5" thickBot="1">
      <c r="A3" s="981"/>
      <c r="B3" s="981"/>
      <c r="C3" s="982"/>
      <c r="D3" s="982"/>
      <c r="E3" s="984" t="s">
        <v>94</v>
      </c>
    </row>
    <row r="4" spans="1:5" ht="1.5" customHeight="1">
      <c r="A4" s="985"/>
      <c r="B4" s="986"/>
      <c r="C4" s="987"/>
      <c r="D4" s="987"/>
      <c r="E4" s="988"/>
    </row>
    <row r="5" spans="1:5" ht="12.75">
      <c r="A5" s="1255" t="s">
        <v>134</v>
      </c>
      <c r="B5" s="1256"/>
      <c r="C5" s="989" t="s">
        <v>135</v>
      </c>
      <c r="D5" s="989" t="s">
        <v>136</v>
      </c>
      <c r="E5" s="1257" t="s">
        <v>137</v>
      </c>
    </row>
    <row r="6" spans="1:5" ht="12.75">
      <c r="A6" s="1255"/>
      <c r="B6" s="1256"/>
      <c r="C6" s="989" t="s">
        <v>138</v>
      </c>
      <c r="D6" s="989" t="s">
        <v>138</v>
      </c>
      <c r="E6" s="1257"/>
    </row>
    <row r="7" spans="1:5" ht="0.75" customHeight="1" thickBot="1">
      <c r="A7" s="990"/>
      <c r="B7" s="991"/>
      <c r="C7" s="992"/>
      <c r="D7" s="992"/>
      <c r="E7" s="993"/>
    </row>
    <row r="8" spans="1:5" ht="13.5" thickBot="1">
      <c r="A8" s="1252" t="s">
        <v>139</v>
      </c>
      <c r="B8" s="1253"/>
      <c r="C8" s="1253"/>
      <c r="D8" s="1253"/>
      <c r="E8" s="1254"/>
    </row>
    <row r="9" spans="1:5" ht="12.75">
      <c r="A9" s="941" t="s">
        <v>140</v>
      </c>
      <c r="B9" s="994" t="s">
        <v>162</v>
      </c>
      <c r="C9" s="995"/>
      <c r="D9" s="995"/>
      <c r="E9" s="996"/>
    </row>
    <row r="10" spans="1:5" ht="12" customHeight="1">
      <c r="A10" s="997" t="s">
        <v>109</v>
      </c>
      <c r="B10" s="998" t="s">
        <v>147</v>
      </c>
      <c r="C10" s="999"/>
      <c r="D10" s="999"/>
      <c r="E10" s="1000"/>
    </row>
    <row r="11" spans="1:5" ht="12" customHeight="1">
      <c r="A11" s="997"/>
      <c r="B11" s="1001" t="s">
        <v>434</v>
      </c>
      <c r="C11" s="999">
        <v>571</v>
      </c>
      <c r="D11" s="999">
        <v>0</v>
      </c>
      <c r="E11" s="1000">
        <f>SUM(C11:D11)</f>
        <v>571</v>
      </c>
    </row>
    <row r="12" spans="1:5" ht="12" customHeight="1">
      <c r="A12" s="997"/>
      <c r="B12" s="1001" t="s">
        <v>435</v>
      </c>
      <c r="C12" s="999">
        <v>813</v>
      </c>
      <c r="D12" s="999">
        <v>0</v>
      </c>
      <c r="E12" s="1000">
        <f>SUM(C12:D12)</f>
        <v>813</v>
      </c>
    </row>
    <row r="13" spans="1:5" ht="12" customHeight="1">
      <c r="A13" s="997"/>
      <c r="B13" s="1001" t="s">
        <v>436</v>
      </c>
      <c r="C13" s="999">
        <v>813</v>
      </c>
      <c r="D13" s="999">
        <v>0</v>
      </c>
      <c r="E13" s="1000">
        <f>SUM(C13:D13)</f>
        <v>813</v>
      </c>
    </row>
    <row r="14" spans="1:5" ht="12" customHeight="1">
      <c r="A14" s="997">
        <v>2</v>
      </c>
      <c r="B14" s="998" t="s">
        <v>460</v>
      </c>
      <c r="C14" s="999"/>
      <c r="D14" s="999"/>
      <c r="E14" s="1000"/>
    </row>
    <row r="15" spans="1:5" ht="12" customHeight="1">
      <c r="A15" s="997"/>
      <c r="B15" s="1001" t="s">
        <v>434</v>
      </c>
      <c r="C15" s="999">
        <v>0</v>
      </c>
      <c r="D15" s="999">
        <v>0</v>
      </c>
      <c r="E15" s="1000">
        <f>SUM(C15:D15)</f>
        <v>0</v>
      </c>
    </row>
    <row r="16" spans="1:5" ht="12" customHeight="1">
      <c r="A16" s="997"/>
      <c r="B16" s="1001" t="s">
        <v>435</v>
      </c>
      <c r="C16" s="999">
        <v>30</v>
      </c>
      <c r="D16" s="999">
        <v>0</v>
      </c>
      <c r="E16" s="1000">
        <f>SUM(C16:D16)</f>
        <v>30</v>
      </c>
    </row>
    <row r="17" spans="1:5" ht="12" customHeight="1">
      <c r="A17" s="997"/>
      <c r="B17" s="1001" t="s">
        <v>436</v>
      </c>
      <c r="C17" s="999">
        <v>30</v>
      </c>
      <c r="D17" s="999">
        <v>0</v>
      </c>
      <c r="E17" s="1000">
        <f>SUM(C17:D17)</f>
        <v>30</v>
      </c>
    </row>
    <row r="18" spans="1:5" ht="12" customHeight="1">
      <c r="A18" s="997">
        <v>3</v>
      </c>
      <c r="B18" s="998" t="s">
        <v>614</v>
      </c>
      <c r="C18" s="999"/>
      <c r="D18" s="999"/>
      <c r="E18" s="1000"/>
    </row>
    <row r="19" spans="1:5" ht="12" customHeight="1">
      <c r="A19" s="997"/>
      <c r="B19" s="1001" t="s">
        <v>434</v>
      </c>
      <c r="C19" s="999">
        <v>0</v>
      </c>
      <c r="D19" s="999">
        <v>0</v>
      </c>
      <c r="E19" s="1000">
        <f>SUM(C19:D19)</f>
        <v>0</v>
      </c>
    </row>
    <row r="20" spans="1:5" ht="12" customHeight="1">
      <c r="A20" s="997"/>
      <c r="B20" s="1001" t="s">
        <v>435</v>
      </c>
      <c r="C20" s="999">
        <v>8</v>
      </c>
      <c r="D20" s="999">
        <v>0</v>
      </c>
      <c r="E20" s="1000">
        <f>SUM(C20:D20)</f>
        <v>8</v>
      </c>
    </row>
    <row r="21" spans="1:5" ht="12" customHeight="1">
      <c r="A21" s="1002"/>
      <c r="B21" s="1003" t="s">
        <v>436</v>
      </c>
      <c r="C21" s="1004">
        <f>41-7</f>
        <v>34</v>
      </c>
      <c r="D21" s="1004">
        <v>0</v>
      </c>
      <c r="E21" s="1005">
        <f>SUM(C21:D21)</f>
        <v>34</v>
      </c>
    </row>
    <row r="22" spans="1:5" ht="12" customHeight="1">
      <c r="A22" s="1006">
        <v>4</v>
      </c>
      <c r="B22" s="944" t="s">
        <v>613</v>
      </c>
      <c r="C22" s="999"/>
      <c r="D22" s="999"/>
      <c r="E22" s="1000"/>
    </row>
    <row r="23" spans="1:5" ht="12" customHeight="1">
      <c r="A23" s="1006"/>
      <c r="B23" s="1001" t="s">
        <v>434</v>
      </c>
      <c r="C23" s="999">
        <v>0</v>
      </c>
      <c r="D23" s="999"/>
      <c r="E23" s="1000">
        <f>SUM(C23:D23)</f>
        <v>0</v>
      </c>
    </row>
    <row r="24" spans="1:5" ht="12" customHeight="1">
      <c r="A24" s="1006"/>
      <c r="B24" s="1001" t="s">
        <v>435</v>
      </c>
      <c r="C24" s="999">
        <v>83</v>
      </c>
      <c r="D24" s="999"/>
      <c r="E24" s="1000">
        <f>SUM(C24:D24)</f>
        <v>83</v>
      </c>
    </row>
    <row r="25" spans="1:5" ht="12" customHeight="1" thickBot="1">
      <c r="A25" s="1002"/>
      <c r="B25" s="1007" t="s">
        <v>436</v>
      </c>
      <c r="C25" s="1004">
        <v>83</v>
      </c>
      <c r="D25" s="1004"/>
      <c r="E25" s="1008">
        <f>SUM(C25:D25)</f>
        <v>83</v>
      </c>
    </row>
    <row r="26" spans="1:5" ht="14.25" thickBot="1" thickTop="1">
      <c r="A26" s="1009"/>
      <c r="B26" s="1010" t="s">
        <v>479</v>
      </c>
      <c r="C26" s="920"/>
      <c r="D26" s="920"/>
      <c r="E26" s="921"/>
    </row>
    <row r="27" spans="1:5" ht="13.5" thickTop="1">
      <c r="A27" s="1011"/>
      <c r="B27" s="1012" t="s">
        <v>434</v>
      </c>
      <c r="C27" s="1013">
        <f aca="true" t="shared" si="0" ref="C27:E29">C11+C15+C19+C23</f>
        <v>571</v>
      </c>
      <c r="D27" s="1013">
        <f t="shared" si="0"/>
        <v>0</v>
      </c>
      <c r="E27" s="1014">
        <f t="shared" si="0"/>
        <v>571</v>
      </c>
    </row>
    <row r="28" spans="1:5" ht="12.75">
      <c r="A28" s="1015"/>
      <c r="B28" s="1012" t="s">
        <v>435</v>
      </c>
      <c r="C28" s="1016">
        <f t="shared" si="0"/>
        <v>934</v>
      </c>
      <c r="D28" s="1016">
        <f t="shared" si="0"/>
        <v>0</v>
      </c>
      <c r="E28" s="1000">
        <f t="shared" si="0"/>
        <v>934</v>
      </c>
    </row>
    <row r="29" spans="1:5" ht="13.5" thickBot="1">
      <c r="A29" s="1017"/>
      <c r="B29" s="1018" t="s">
        <v>436</v>
      </c>
      <c r="C29" s="1019">
        <f t="shared" si="0"/>
        <v>960</v>
      </c>
      <c r="D29" s="1019">
        <f t="shared" si="0"/>
        <v>0</v>
      </c>
      <c r="E29" s="1020">
        <f t="shared" si="0"/>
        <v>960</v>
      </c>
    </row>
    <row r="30" spans="1:5" ht="8.25" customHeight="1" thickBot="1">
      <c r="A30" s="981"/>
      <c r="B30" s="981"/>
      <c r="C30" s="982"/>
      <c r="D30" s="982"/>
      <c r="E30" s="983"/>
    </row>
    <row r="31" spans="1:5" ht="26.25" customHeight="1" hidden="1" thickBot="1">
      <c r="A31" s="981"/>
      <c r="B31" s="981"/>
      <c r="C31" s="982"/>
      <c r="D31" s="982"/>
      <c r="E31" s="1021" t="s">
        <v>94</v>
      </c>
    </row>
    <row r="32" spans="1:5" ht="13.5" hidden="1" thickBot="1">
      <c r="A32" s="985"/>
      <c r="B32" s="1022"/>
      <c r="C32" s="987"/>
      <c r="D32" s="987"/>
      <c r="E32" s="988"/>
    </row>
    <row r="33" spans="1:5" ht="12.75">
      <c r="A33" s="1258" t="s">
        <v>134</v>
      </c>
      <c r="B33" s="1259"/>
      <c r="C33" s="1023" t="s">
        <v>135</v>
      </c>
      <c r="D33" s="1023" t="s">
        <v>136</v>
      </c>
      <c r="E33" s="1261" t="s">
        <v>137</v>
      </c>
    </row>
    <row r="34" spans="1:5" ht="9" customHeight="1">
      <c r="A34" s="1255"/>
      <c r="B34" s="1260"/>
      <c r="C34" s="989" t="s">
        <v>138</v>
      </c>
      <c r="D34" s="989" t="s">
        <v>138</v>
      </c>
      <c r="E34" s="1257"/>
    </row>
    <row r="35" spans="1:5" ht="0.75" customHeight="1" thickBot="1">
      <c r="A35" s="990"/>
      <c r="B35" s="1024"/>
      <c r="C35" s="992"/>
      <c r="D35" s="992"/>
      <c r="E35" s="993"/>
    </row>
    <row r="36" spans="1:5" ht="13.5" thickBot="1">
      <c r="A36" s="1252" t="s">
        <v>151</v>
      </c>
      <c r="B36" s="1253"/>
      <c r="C36" s="1253"/>
      <c r="D36" s="1253"/>
      <c r="E36" s="1254"/>
    </row>
    <row r="37" spans="1:5" ht="12.75">
      <c r="A37" s="1025" t="s">
        <v>140</v>
      </c>
      <c r="B37" s="1026" t="s">
        <v>152</v>
      </c>
      <c r="C37" s="1027"/>
      <c r="D37" s="1027"/>
      <c r="E37" s="1028"/>
    </row>
    <row r="38" spans="1:5" ht="11.25" customHeight="1">
      <c r="A38" s="997" t="s">
        <v>109</v>
      </c>
      <c r="B38" s="998" t="s">
        <v>129</v>
      </c>
      <c r="C38" s="999"/>
      <c r="D38" s="999"/>
      <c r="E38" s="1000"/>
    </row>
    <row r="39" spans="1:5" ht="11.25" customHeight="1">
      <c r="A39" s="997"/>
      <c r="B39" s="1001" t="s">
        <v>434</v>
      </c>
      <c r="C39" s="999">
        <v>85</v>
      </c>
      <c r="D39" s="999">
        <v>0</v>
      </c>
      <c r="E39" s="1000">
        <f>SUM(C39:D39)</f>
        <v>85</v>
      </c>
    </row>
    <row r="40" spans="1:5" ht="11.25" customHeight="1">
      <c r="A40" s="997"/>
      <c r="B40" s="1001" t="s">
        <v>435</v>
      </c>
      <c r="C40" s="999">
        <v>98</v>
      </c>
      <c r="D40" s="999">
        <v>0</v>
      </c>
      <c r="E40" s="1000">
        <f>SUM(C40:D40)</f>
        <v>98</v>
      </c>
    </row>
    <row r="41" spans="1:5" ht="11.25" customHeight="1">
      <c r="A41" s="997"/>
      <c r="B41" s="1007" t="s">
        <v>436</v>
      </c>
      <c r="C41" s="999">
        <v>92</v>
      </c>
      <c r="D41" s="999">
        <v>0</v>
      </c>
      <c r="E41" s="1000">
        <f>SUM(C41:D41)</f>
        <v>92</v>
      </c>
    </row>
    <row r="42" spans="1:5" ht="11.25" customHeight="1">
      <c r="A42" s="997" t="s">
        <v>111</v>
      </c>
      <c r="B42" s="998" t="s">
        <v>130</v>
      </c>
      <c r="C42" s="999"/>
      <c r="D42" s="999"/>
      <c r="E42" s="1000"/>
    </row>
    <row r="43" spans="1:5" ht="11.25" customHeight="1">
      <c r="A43" s="997"/>
      <c r="B43" s="1001" t="s">
        <v>434</v>
      </c>
      <c r="C43" s="999">
        <v>27</v>
      </c>
      <c r="D43" s="999">
        <v>0</v>
      </c>
      <c r="E43" s="1000">
        <f>SUM(C43:D43)</f>
        <v>27</v>
      </c>
    </row>
    <row r="44" spans="1:5" ht="11.25" customHeight="1">
      <c r="A44" s="997"/>
      <c r="B44" s="1001" t="s">
        <v>435</v>
      </c>
      <c r="C44" s="999">
        <v>27</v>
      </c>
      <c r="D44" s="999">
        <v>0</v>
      </c>
      <c r="E44" s="1000">
        <f>SUM(C44:D44)</f>
        <v>27</v>
      </c>
    </row>
    <row r="45" spans="1:5" ht="11.25" customHeight="1">
      <c r="A45" s="997"/>
      <c r="B45" s="1007" t="s">
        <v>436</v>
      </c>
      <c r="C45" s="999">
        <v>22</v>
      </c>
      <c r="D45" s="999">
        <v>0</v>
      </c>
      <c r="E45" s="1000">
        <f>SUM(C45:D45)</f>
        <v>22</v>
      </c>
    </row>
    <row r="46" spans="1:5" ht="11.25" customHeight="1">
      <c r="A46" s="997" t="s">
        <v>113</v>
      </c>
      <c r="B46" s="998" t="s">
        <v>131</v>
      </c>
      <c r="C46" s="999"/>
      <c r="D46" s="999"/>
      <c r="E46" s="1000"/>
    </row>
    <row r="47" spans="1:5" ht="11.25" customHeight="1">
      <c r="A47" s="997"/>
      <c r="B47" s="1001" t="s">
        <v>434</v>
      </c>
      <c r="C47" s="999">
        <v>459</v>
      </c>
      <c r="D47" s="999">
        <v>0</v>
      </c>
      <c r="E47" s="1000">
        <f>SUM(C47:D47)</f>
        <v>459</v>
      </c>
    </row>
    <row r="48" spans="1:5" ht="11.25" customHeight="1">
      <c r="A48" s="997"/>
      <c r="B48" s="1001" t="s">
        <v>435</v>
      </c>
      <c r="C48" s="999">
        <v>759</v>
      </c>
      <c r="D48" s="999">
        <v>0</v>
      </c>
      <c r="E48" s="1000">
        <f>SUM(C48:D48)</f>
        <v>759</v>
      </c>
    </row>
    <row r="49" spans="1:5" ht="11.25" customHeight="1">
      <c r="A49" s="997"/>
      <c r="B49" s="1007" t="s">
        <v>436</v>
      </c>
      <c r="C49" s="999">
        <f>77+401+155+114-1</f>
        <v>746</v>
      </c>
      <c r="D49" s="999">
        <v>0</v>
      </c>
      <c r="E49" s="1000">
        <f>SUM(C49:D49)</f>
        <v>746</v>
      </c>
    </row>
    <row r="50" spans="1:5" ht="11.25" customHeight="1">
      <c r="A50" s="997" t="s">
        <v>115</v>
      </c>
      <c r="B50" s="998" t="s">
        <v>153</v>
      </c>
      <c r="C50" s="999"/>
      <c r="D50" s="999"/>
      <c r="E50" s="1000"/>
    </row>
    <row r="51" spans="1:5" ht="11.25" customHeight="1">
      <c r="A51" s="997"/>
      <c r="B51" s="1001" t="s">
        <v>434</v>
      </c>
      <c r="C51" s="999">
        <f>5!G608</f>
        <v>0</v>
      </c>
      <c r="D51" s="999">
        <v>0</v>
      </c>
      <c r="E51" s="1000">
        <f>SUM(C51:D51)</f>
        <v>0</v>
      </c>
    </row>
    <row r="52" spans="1:5" ht="11.25" customHeight="1">
      <c r="A52" s="997"/>
      <c r="B52" s="1001" t="s">
        <v>435</v>
      </c>
      <c r="C52" s="999">
        <v>0</v>
      </c>
      <c r="D52" s="999">
        <v>0</v>
      </c>
      <c r="E52" s="1000">
        <f>SUM(C52:D52)</f>
        <v>0</v>
      </c>
    </row>
    <row r="53" spans="1:5" ht="11.25" customHeight="1">
      <c r="A53" s="997"/>
      <c r="B53" s="1007" t="s">
        <v>436</v>
      </c>
      <c r="C53" s="999">
        <f>5!G610</f>
        <v>0</v>
      </c>
      <c r="D53" s="999">
        <v>0</v>
      </c>
      <c r="E53" s="1000">
        <f>SUM(C53:D53)</f>
        <v>0</v>
      </c>
    </row>
    <row r="54" spans="1:5" ht="11.25" customHeight="1">
      <c r="A54" s="997" t="s">
        <v>117</v>
      </c>
      <c r="B54" s="998" t="s">
        <v>154</v>
      </c>
      <c r="C54" s="999"/>
      <c r="D54" s="999"/>
      <c r="E54" s="1000"/>
    </row>
    <row r="55" spans="1:5" ht="11.25" customHeight="1">
      <c r="A55" s="997"/>
      <c r="B55" s="1001" t="s">
        <v>434</v>
      </c>
      <c r="C55" s="999">
        <v>0</v>
      </c>
      <c r="D55" s="999">
        <v>0</v>
      </c>
      <c r="E55" s="1000">
        <f>SUM(C55:D55)</f>
        <v>0</v>
      </c>
    </row>
    <row r="56" spans="1:5" ht="11.25" customHeight="1">
      <c r="A56" s="997"/>
      <c r="B56" s="1001" t="s">
        <v>435</v>
      </c>
      <c r="C56" s="999">
        <v>0</v>
      </c>
      <c r="D56" s="999">
        <v>0</v>
      </c>
      <c r="E56" s="1000">
        <f>SUM(C56:D56)</f>
        <v>0</v>
      </c>
    </row>
    <row r="57" spans="1:5" ht="11.25" customHeight="1">
      <c r="A57" s="997"/>
      <c r="B57" s="1007" t="s">
        <v>436</v>
      </c>
      <c r="C57" s="999">
        <f>5!H610</f>
        <v>0</v>
      </c>
      <c r="D57" s="999">
        <v>0</v>
      </c>
      <c r="E57" s="1000">
        <f>SUM(C57:D57)</f>
        <v>0</v>
      </c>
    </row>
    <row r="58" spans="1:5" ht="11.25" customHeight="1">
      <c r="A58" s="997" t="s">
        <v>119</v>
      </c>
      <c r="B58" s="945" t="s">
        <v>334</v>
      </c>
      <c r="C58" s="999"/>
      <c r="D58" s="999"/>
      <c r="E58" s="1000"/>
    </row>
    <row r="59" spans="1:5" ht="11.25" customHeight="1">
      <c r="A59" s="997"/>
      <c r="B59" s="1001" t="s">
        <v>434</v>
      </c>
      <c r="C59" s="999">
        <v>0</v>
      </c>
      <c r="D59" s="999">
        <v>0</v>
      </c>
      <c r="E59" s="1000">
        <f>SUM(C59:D59)</f>
        <v>0</v>
      </c>
    </row>
    <row r="60" spans="1:5" ht="11.25" customHeight="1">
      <c r="A60" s="997"/>
      <c r="B60" s="1001" t="s">
        <v>435</v>
      </c>
      <c r="C60" s="999">
        <v>50</v>
      </c>
      <c r="D60" s="999">
        <v>0</v>
      </c>
      <c r="E60" s="1000">
        <f>SUM(C60:D60)</f>
        <v>50</v>
      </c>
    </row>
    <row r="61" spans="1:5" ht="11.25" customHeight="1" thickBot="1">
      <c r="A61" s="1029"/>
      <c r="B61" s="1007" t="s">
        <v>436</v>
      </c>
      <c r="C61" s="999">
        <v>50</v>
      </c>
      <c r="D61" s="1030">
        <v>0</v>
      </c>
      <c r="E61" s="1000">
        <f>SUM(C61:D61)</f>
        <v>50</v>
      </c>
    </row>
    <row r="62" spans="1:5" ht="14.25" thickBot="1" thickTop="1">
      <c r="A62" s="1031"/>
      <c r="B62" s="1032" t="s">
        <v>477</v>
      </c>
      <c r="C62" s="1033"/>
      <c r="D62" s="1034">
        <f>SUM(D38:D57)</f>
        <v>0</v>
      </c>
      <c r="E62" s="1035"/>
    </row>
    <row r="63" spans="1:5" ht="13.5" thickTop="1">
      <c r="A63" s="1036"/>
      <c r="B63" s="1037" t="s">
        <v>434</v>
      </c>
      <c r="C63" s="1013">
        <f aca="true" t="shared" si="1" ref="C63:E65">C39+C43+C47+C51+C55+C59</f>
        <v>571</v>
      </c>
      <c r="D63" s="1013">
        <f t="shared" si="1"/>
        <v>0</v>
      </c>
      <c r="E63" s="1014">
        <f t="shared" si="1"/>
        <v>571</v>
      </c>
    </row>
    <row r="64" spans="1:5" ht="12.75">
      <c r="A64" s="1038"/>
      <c r="B64" s="1012" t="s">
        <v>435</v>
      </c>
      <c r="C64" s="1016">
        <f t="shared" si="1"/>
        <v>934</v>
      </c>
      <c r="D64" s="1016">
        <f t="shared" si="1"/>
        <v>0</v>
      </c>
      <c r="E64" s="1000">
        <f t="shared" si="1"/>
        <v>934</v>
      </c>
    </row>
    <row r="65" spans="1:5" ht="13.5" thickBot="1">
      <c r="A65" s="1039"/>
      <c r="B65" s="1040" t="s">
        <v>436</v>
      </c>
      <c r="C65" s="1019">
        <f t="shared" si="1"/>
        <v>910</v>
      </c>
      <c r="D65" s="1019">
        <f t="shared" si="1"/>
        <v>0</v>
      </c>
      <c r="E65" s="1020">
        <f t="shared" si="1"/>
        <v>910</v>
      </c>
    </row>
    <row r="66" spans="1:5" ht="12.75">
      <c r="A66" s="1041"/>
      <c r="B66" s="1042"/>
      <c r="C66" s="1043"/>
      <c r="D66" s="1043"/>
      <c r="E66" s="1043"/>
    </row>
    <row r="136" spans="1:5" ht="12.75">
      <c r="A136" s="1044"/>
      <c r="B136" s="1044"/>
      <c r="C136" s="1045"/>
      <c r="D136" s="1045"/>
      <c r="E136" s="1045"/>
    </row>
  </sheetData>
  <sheetProtection/>
  <mergeCells count="6">
    <mergeCell ref="A36:E36"/>
    <mergeCell ref="A5:B6"/>
    <mergeCell ref="E5:E6"/>
    <mergeCell ref="A8:E8"/>
    <mergeCell ref="A33:B34"/>
    <mergeCell ref="E33:E34"/>
  </mergeCells>
  <printOptions/>
  <pageMargins left="0.75" right="0.75" top="1" bottom="1" header="0.5" footer="0.5"/>
  <pageSetup horizontalDpi="600" verticalDpi="600" orientation="portrait" paperSize="9" scale="95" r:id="rId2"/>
  <rowBreaks count="1" manualBreakCount="1">
    <brk id="66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124"/>
  <sheetViews>
    <sheetView tabSelected="1" view="pageBreakPreview" zoomScale="175" zoomScaleSheetLayoutView="175" zoomScalePageLayoutView="0" workbookViewId="0" topLeftCell="A115">
      <selection activeCell="I12" sqref="I12"/>
    </sheetView>
  </sheetViews>
  <sheetFormatPr defaultColWidth="9.00390625" defaultRowHeight="12.75"/>
  <cols>
    <col min="1" max="1" width="40.125" style="759" customWidth="1"/>
    <col min="2" max="2" width="9.875" style="759" customWidth="1"/>
    <col min="3" max="3" width="8.00390625" style="759" customWidth="1"/>
    <col min="4" max="4" width="9.75390625" style="759" customWidth="1"/>
    <col min="5" max="5" width="9.375" style="759" customWidth="1"/>
    <col min="6" max="6" width="7.125" style="759" customWidth="1"/>
    <col min="7" max="7" width="10.125" style="759" customWidth="1"/>
    <col min="8" max="9" width="9.25390625" style="759" customWidth="1"/>
    <col min="10" max="10" width="6.125" style="759" customWidth="1"/>
    <col min="11" max="11" width="9.375" style="759" customWidth="1"/>
    <col min="12" max="12" width="8.875" style="759" customWidth="1"/>
    <col min="13" max="13" width="6.375" style="759" customWidth="1"/>
    <col min="14" max="14" width="9.00390625" style="759" customWidth="1"/>
    <col min="15" max="16384" width="9.125" style="759" customWidth="1"/>
  </cols>
  <sheetData>
    <row r="2" spans="2:7" ht="12.75">
      <c r="B2" s="1519"/>
      <c r="C2" s="1519"/>
      <c r="D2" s="1519"/>
      <c r="E2" s="1519"/>
      <c r="F2" s="1519"/>
      <c r="G2" s="1519"/>
    </row>
    <row r="3" ht="9.75" customHeight="1" thickBot="1">
      <c r="G3" s="760" t="s">
        <v>94</v>
      </c>
    </row>
    <row r="4" spans="1:14" s="763" customFormat="1" ht="9.75" customHeight="1">
      <c r="A4" s="1520" t="s">
        <v>983</v>
      </c>
      <c r="B4" s="1507" t="s">
        <v>815</v>
      </c>
      <c r="C4" s="1507" t="s">
        <v>816</v>
      </c>
      <c r="D4" s="1507" t="s">
        <v>834</v>
      </c>
      <c r="E4" s="1507" t="s">
        <v>818</v>
      </c>
      <c r="F4" s="1507" t="s">
        <v>819</v>
      </c>
      <c r="G4" s="1510" t="s">
        <v>835</v>
      </c>
      <c r="H4" s="761"/>
      <c r="I4" s="762"/>
      <c r="J4" s="762"/>
      <c r="K4" s="762"/>
      <c r="L4" s="762"/>
      <c r="M4" s="762"/>
      <c r="N4" s="762"/>
    </row>
    <row r="5" spans="1:14" s="763" customFormat="1" ht="9.75" customHeight="1">
      <c r="A5" s="1521"/>
      <c r="B5" s="1508"/>
      <c r="C5" s="1508"/>
      <c r="D5" s="1508"/>
      <c r="E5" s="1508"/>
      <c r="F5" s="1508"/>
      <c r="G5" s="1511"/>
      <c r="H5" s="764"/>
      <c r="I5" s="762"/>
      <c r="J5" s="762"/>
      <c r="K5" s="762"/>
      <c r="L5" s="762"/>
      <c r="M5" s="762"/>
      <c r="N5" s="762"/>
    </row>
    <row r="6" spans="1:14" s="763" customFormat="1" ht="9.75" customHeight="1">
      <c r="A6" s="1521"/>
      <c r="B6" s="1508"/>
      <c r="C6" s="1508"/>
      <c r="D6" s="1508"/>
      <c r="E6" s="1508"/>
      <c r="F6" s="1508"/>
      <c r="G6" s="1511"/>
      <c r="H6" s="764"/>
      <c r="I6" s="762"/>
      <c r="J6" s="762"/>
      <c r="K6" s="762"/>
      <c r="L6" s="762"/>
      <c r="M6" s="762"/>
      <c r="N6" s="762"/>
    </row>
    <row r="7" spans="1:14" s="763" customFormat="1" ht="24" customHeight="1" thickBot="1">
      <c r="A7" s="1522"/>
      <c r="B7" s="1509"/>
      <c r="C7" s="1509"/>
      <c r="D7" s="1509"/>
      <c r="E7" s="1509"/>
      <c r="F7" s="1509"/>
      <c r="G7" s="1512"/>
      <c r="H7" s="761"/>
      <c r="I7" s="762"/>
      <c r="J7" s="762"/>
      <c r="K7" s="762"/>
      <c r="L7" s="762"/>
      <c r="M7" s="762"/>
      <c r="N7" s="762"/>
    </row>
    <row r="8" spans="1:14" s="763" customFormat="1" ht="4.5" customHeight="1">
      <c r="A8" s="765"/>
      <c r="B8" s="766"/>
      <c r="C8" s="766"/>
      <c r="D8" s="766"/>
      <c r="E8" s="766"/>
      <c r="F8" s="766"/>
      <c r="G8" s="767"/>
      <c r="H8" s="761"/>
      <c r="I8" s="762"/>
      <c r="J8" s="762"/>
      <c r="K8" s="762"/>
      <c r="L8" s="762"/>
      <c r="M8" s="762"/>
      <c r="N8" s="762"/>
    </row>
    <row r="9" spans="1:14" ht="7.5" customHeight="1">
      <c r="A9" s="768"/>
      <c r="B9" s="769"/>
      <c r="C9" s="769"/>
      <c r="D9" s="769"/>
      <c r="E9" s="769"/>
      <c r="F9" s="769"/>
      <c r="G9" s="770"/>
      <c r="H9" s="771"/>
      <c r="I9" s="772"/>
      <c r="J9" s="772"/>
      <c r="K9" s="772"/>
      <c r="L9" s="772"/>
      <c r="M9" s="772"/>
      <c r="N9" s="772"/>
    </row>
    <row r="10" spans="1:14" s="763" customFormat="1" ht="10.5" customHeight="1">
      <c r="A10" s="773" t="s">
        <v>984</v>
      </c>
      <c r="B10" s="774">
        <f>B12+B19+B27+B34</f>
        <v>7434916</v>
      </c>
      <c r="C10" s="774">
        <f>C12+C19+C27+C34</f>
        <v>0</v>
      </c>
      <c r="D10" s="774">
        <f>SUM(B10:C10)</f>
        <v>7434916</v>
      </c>
      <c r="E10" s="774">
        <f>E12+E19+E27+E34</f>
        <v>7441662</v>
      </c>
      <c r="F10" s="774">
        <f>F12+F19+F27+F34</f>
        <v>0</v>
      </c>
      <c r="G10" s="775">
        <f>G12+G19+G27+G34</f>
        <v>7441662</v>
      </c>
      <c r="H10" s="761"/>
      <c r="I10" s="776"/>
      <c r="J10" s="776"/>
      <c r="K10" s="776"/>
      <c r="L10" s="776"/>
      <c r="M10" s="776"/>
      <c r="N10" s="776"/>
    </row>
    <row r="11" spans="1:14" s="763" customFormat="1" ht="4.5" customHeight="1">
      <c r="A11" s="777"/>
      <c r="B11" s="778"/>
      <c r="C11" s="778"/>
      <c r="D11" s="778"/>
      <c r="E11" s="778"/>
      <c r="F11" s="778"/>
      <c r="G11" s="779"/>
      <c r="H11" s="762"/>
      <c r="I11" s="780"/>
      <c r="J11" s="780"/>
      <c r="K11" s="780"/>
      <c r="L11" s="780"/>
      <c r="M11" s="780"/>
      <c r="N11" s="780"/>
    </row>
    <row r="12" spans="1:14" s="763" customFormat="1" ht="10.5" customHeight="1">
      <c r="A12" s="781" t="s">
        <v>5</v>
      </c>
      <c r="B12" s="782">
        <f>B15+B16</f>
        <v>9899</v>
      </c>
      <c r="C12" s="782">
        <f>SUM(C13:C18)</f>
        <v>0</v>
      </c>
      <c r="D12" s="782">
        <f>SUM(B12:C12)</f>
        <v>9899</v>
      </c>
      <c r="E12" s="782">
        <f>SUM(E13:E18)</f>
        <v>9789</v>
      </c>
      <c r="F12" s="782">
        <f>SUM(F13:F18)</f>
        <v>0</v>
      </c>
      <c r="G12" s="783">
        <f>SUM(G13:G18)</f>
        <v>9789</v>
      </c>
      <c r="H12" s="762"/>
      <c r="I12" s="780"/>
      <c r="J12" s="780"/>
      <c r="K12" s="780"/>
      <c r="L12" s="780"/>
      <c r="M12" s="780"/>
      <c r="N12" s="780"/>
    </row>
    <row r="13" spans="1:14" s="763" customFormat="1" ht="10.5" customHeight="1">
      <c r="A13" s="784" t="s">
        <v>6</v>
      </c>
      <c r="B13" s="785"/>
      <c r="C13" s="785"/>
      <c r="D13" s="785"/>
      <c r="E13" s="785"/>
      <c r="F13" s="785"/>
      <c r="G13" s="786"/>
      <c r="H13" s="762"/>
      <c r="I13" s="780"/>
      <c r="J13" s="780"/>
      <c r="K13" s="780"/>
      <c r="L13" s="780"/>
      <c r="M13" s="780"/>
      <c r="N13" s="780"/>
    </row>
    <row r="14" spans="1:14" s="763" customFormat="1" ht="10.5" customHeight="1">
      <c r="A14" s="784" t="s">
        <v>7</v>
      </c>
      <c r="B14" s="785"/>
      <c r="C14" s="785"/>
      <c r="D14" s="785"/>
      <c r="E14" s="785"/>
      <c r="F14" s="785"/>
      <c r="G14" s="786"/>
      <c r="H14" s="762"/>
      <c r="I14" s="780"/>
      <c r="J14" s="780"/>
      <c r="K14" s="780"/>
      <c r="L14" s="780"/>
      <c r="M14" s="780"/>
      <c r="N14" s="780"/>
    </row>
    <row r="15" spans="1:14" s="763" customFormat="1" ht="10.5" customHeight="1">
      <c r="A15" s="784" t="s">
        <v>8</v>
      </c>
      <c r="B15" s="785">
        <v>39</v>
      </c>
      <c r="C15" s="785">
        <v>0</v>
      </c>
      <c r="D15" s="785">
        <f>SUM(B15:C15)</f>
        <v>39</v>
      </c>
      <c r="E15" s="785">
        <v>503</v>
      </c>
      <c r="F15" s="785">
        <v>0</v>
      </c>
      <c r="G15" s="786">
        <f>SUM(E15:F15)</f>
        <v>503</v>
      </c>
      <c r="H15" s="762"/>
      <c r="I15" s="780"/>
      <c r="J15" s="780"/>
      <c r="K15" s="780"/>
      <c r="L15" s="780"/>
      <c r="M15" s="780"/>
      <c r="N15" s="780"/>
    </row>
    <row r="16" spans="1:14" s="763" customFormat="1" ht="10.5" customHeight="1">
      <c r="A16" s="784" t="s">
        <v>9</v>
      </c>
      <c r="B16" s="785">
        <v>9860</v>
      </c>
      <c r="C16" s="785">
        <v>0</v>
      </c>
      <c r="D16" s="785">
        <f>SUM(B16:C16)</f>
        <v>9860</v>
      </c>
      <c r="E16" s="785">
        <v>9286</v>
      </c>
      <c r="F16" s="785">
        <v>0</v>
      </c>
      <c r="G16" s="786">
        <f>SUM(E16:F16)</f>
        <v>9286</v>
      </c>
      <c r="H16" s="762"/>
      <c r="I16" s="780"/>
      <c r="J16" s="780"/>
      <c r="K16" s="780"/>
      <c r="L16" s="780"/>
      <c r="M16" s="780"/>
      <c r="N16" s="780"/>
    </row>
    <row r="17" spans="1:14" s="763" customFormat="1" ht="10.5" customHeight="1">
      <c r="A17" s="784" t="s">
        <v>10</v>
      </c>
      <c r="B17" s="785"/>
      <c r="C17" s="785"/>
      <c r="D17" s="785"/>
      <c r="E17" s="785"/>
      <c r="F17" s="785"/>
      <c r="G17" s="786"/>
      <c r="H17" s="762"/>
      <c r="I17" s="780"/>
      <c r="J17" s="780"/>
      <c r="K17" s="780"/>
      <c r="L17" s="780"/>
      <c r="M17" s="780"/>
      <c r="N17" s="780"/>
    </row>
    <row r="18" spans="1:14" s="763" customFormat="1" ht="10.5" customHeight="1">
      <c r="A18" s="784" t="s">
        <v>11</v>
      </c>
      <c r="B18" s="785"/>
      <c r="C18" s="785"/>
      <c r="D18" s="785"/>
      <c r="E18" s="785"/>
      <c r="F18" s="785"/>
      <c r="G18" s="786"/>
      <c r="H18" s="762"/>
      <c r="I18" s="780"/>
      <c r="J18" s="780"/>
      <c r="K18" s="780"/>
      <c r="L18" s="780"/>
      <c r="M18" s="780"/>
      <c r="N18" s="780"/>
    </row>
    <row r="19" spans="1:14" s="763" customFormat="1" ht="10.5" customHeight="1">
      <c r="A19" s="781" t="s">
        <v>12</v>
      </c>
      <c r="B19" s="782">
        <f>SUM(B20:B26)</f>
        <v>4042946</v>
      </c>
      <c r="C19" s="782">
        <f>SUM(C20:C26)</f>
        <v>0</v>
      </c>
      <c r="D19" s="782">
        <f>SUM(B19:C19)</f>
        <v>4042946</v>
      </c>
      <c r="E19" s="782">
        <f>SUM(E20:E26)</f>
        <v>4179270</v>
      </c>
      <c r="F19" s="782">
        <f>SUM(F20:F26)</f>
        <v>0</v>
      </c>
      <c r="G19" s="783">
        <f>SUM(G20:G26)</f>
        <v>4179270</v>
      </c>
      <c r="H19" s="761"/>
      <c r="I19" s="780"/>
      <c r="J19" s="780"/>
      <c r="K19" s="780"/>
      <c r="L19" s="780"/>
      <c r="M19" s="780"/>
      <c r="N19" s="780"/>
    </row>
    <row r="20" spans="1:14" s="763" customFormat="1" ht="10.5" customHeight="1">
      <c r="A20" s="784" t="s">
        <v>13</v>
      </c>
      <c r="B20" s="785">
        <v>3710696</v>
      </c>
      <c r="C20" s="785">
        <v>0</v>
      </c>
      <c r="D20" s="785">
        <f>SUM(B20:C20)</f>
        <v>3710696</v>
      </c>
      <c r="E20" s="785">
        <v>3903886</v>
      </c>
      <c r="F20" s="785">
        <v>0</v>
      </c>
      <c r="G20" s="786">
        <f>SUM(E20:F20)</f>
        <v>3903886</v>
      </c>
      <c r="H20" s="762"/>
      <c r="I20" s="780"/>
      <c r="J20" s="780"/>
      <c r="K20" s="780"/>
      <c r="L20" s="780"/>
      <c r="M20" s="780"/>
      <c r="N20" s="780"/>
    </row>
    <row r="21" spans="1:14" s="763" customFormat="1" ht="10.5" customHeight="1">
      <c r="A21" s="784" t="s">
        <v>14</v>
      </c>
      <c r="B21" s="785">
        <v>75754</v>
      </c>
      <c r="C21" s="785">
        <v>0</v>
      </c>
      <c r="D21" s="785">
        <f>SUM(B21:C21)</f>
        <v>75754</v>
      </c>
      <c r="E21" s="785">
        <v>73756</v>
      </c>
      <c r="F21" s="785">
        <v>0</v>
      </c>
      <c r="G21" s="786">
        <f>SUM(E21:F21)</f>
        <v>73756</v>
      </c>
      <c r="H21" s="762"/>
      <c r="I21" s="780"/>
      <c r="J21" s="780"/>
      <c r="K21" s="780"/>
      <c r="L21" s="780"/>
      <c r="M21" s="780"/>
      <c r="N21" s="780"/>
    </row>
    <row r="22" spans="1:14" s="763" customFormat="1" ht="10.5" customHeight="1">
      <c r="A22" s="784" t="s">
        <v>15</v>
      </c>
      <c r="B22" s="785">
        <v>5511</v>
      </c>
      <c r="C22" s="785">
        <v>0</v>
      </c>
      <c r="D22" s="785">
        <f>SUM(B22:C22)</f>
        <v>5511</v>
      </c>
      <c r="E22" s="785">
        <v>3638</v>
      </c>
      <c r="F22" s="785">
        <v>0</v>
      </c>
      <c r="G22" s="786">
        <f>SUM(E22:F22)</f>
        <v>3638</v>
      </c>
      <c r="H22" s="762"/>
      <c r="I22" s="780"/>
      <c r="J22" s="780"/>
      <c r="K22" s="780"/>
      <c r="L22" s="780"/>
      <c r="M22" s="780"/>
      <c r="N22" s="780"/>
    </row>
    <row r="23" spans="1:14" s="763" customFormat="1" ht="10.5" customHeight="1">
      <c r="A23" s="784" t="s">
        <v>16</v>
      </c>
      <c r="B23" s="785"/>
      <c r="C23" s="785"/>
      <c r="D23" s="785"/>
      <c r="E23" s="785"/>
      <c r="F23" s="785"/>
      <c r="G23" s="786"/>
      <c r="H23" s="762"/>
      <c r="I23" s="780"/>
      <c r="J23" s="780"/>
      <c r="K23" s="780"/>
      <c r="L23" s="780"/>
      <c r="M23" s="780"/>
      <c r="N23" s="780"/>
    </row>
    <row r="24" spans="1:14" s="763" customFormat="1" ht="10.5" customHeight="1">
      <c r="A24" s="784" t="s">
        <v>17</v>
      </c>
      <c r="B24" s="785">
        <v>250985</v>
      </c>
      <c r="C24" s="785">
        <v>0</v>
      </c>
      <c r="D24" s="785">
        <f>SUM(B24:C24)</f>
        <v>250985</v>
      </c>
      <c r="E24" s="785">
        <v>197990</v>
      </c>
      <c r="F24" s="785"/>
      <c r="G24" s="786">
        <f>SUM(E24:F24)</f>
        <v>197990</v>
      </c>
      <c r="H24" s="762"/>
      <c r="I24" s="780"/>
      <c r="J24" s="780"/>
      <c r="K24" s="780"/>
      <c r="L24" s="780"/>
      <c r="M24" s="780"/>
      <c r="N24" s="780"/>
    </row>
    <row r="25" spans="1:14" s="763" customFormat="1" ht="10.5" customHeight="1">
      <c r="A25" s="784" t="s">
        <v>18</v>
      </c>
      <c r="B25" s="785">
        <v>0</v>
      </c>
      <c r="C25" s="785">
        <v>0</v>
      </c>
      <c r="D25" s="785">
        <f>SUM(B25:C25)</f>
        <v>0</v>
      </c>
      <c r="E25" s="785">
        <v>0</v>
      </c>
      <c r="F25" s="785"/>
      <c r="G25" s="786">
        <f>SUM(E25:F25)</f>
        <v>0</v>
      </c>
      <c r="H25" s="762"/>
      <c r="I25" s="780"/>
      <c r="J25" s="780"/>
      <c r="K25" s="780"/>
      <c r="L25" s="780"/>
      <c r="M25" s="780"/>
      <c r="N25" s="780"/>
    </row>
    <row r="26" spans="1:14" s="763" customFormat="1" ht="10.5" customHeight="1">
      <c r="A26" s="784" t="s">
        <v>19</v>
      </c>
      <c r="B26" s="785">
        <v>0</v>
      </c>
      <c r="C26" s="785"/>
      <c r="D26" s="785">
        <f>B26</f>
        <v>0</v>
      </c>
      <c r="E26" s="785">
        <v>0</v>
      </c>
      <c r="F26" s="785"/>
      <c r="G26" s="786">
        <f>SUM(E26:F26)</f>
        <v>0</v>
      </c>
      <c r="H26" s="762"/>
      <c r="I26" s="780"/>
      <c r="J26" s="780"/>
      <c r="K26" s="780"/>
      <c r="L26" s="780"/>
      <c r="M26" s="780"/>
      <c r="N26" s="780"/>
    </row>
    <row r="27" spans="1:14" s="763" customFormat="1" ht="10.5" customHeight="1">
      <c r="A27" s="781" t="s">
        <v>20</v>
      </c>
      <c r="B27" s="782">
        <f>SUM(B28:B33)</f>
        <v>85530</v>
      </c>
      <c r="C27" s="782">
        <f>SUM(C28:C33)</f>
        <v>0</v>
      </c>
      <c r="D27" s="782">
        <f>SUM(B27:C27)</f>
        <v>85530</v>
      </c>
      <c r="E27" s="782">
        <f>SUM(E28:E33)</f>
        <v>82639</v>
      </c>
      <c r="F27" s="782">
        <f>SUM(F28:F33)</f>
        <v>0</v>
      </c>
      <c r="G27" s="783">
        <f>SUM(G28:G33)</f>
        <v>82639</v>
      </c>
      <c r="H27" s="762"/>
      <c r="I27" s="780"/>
      <c r="J27" s="780"/>
      <c r="K27" s="780"/>
      <c r="L27" s="780"/>
      <c r="M27" s="780"/>
      <c r="N27" s="780"/>
    </row>
    <row r="28" spans="1:14" s="763" customFormat="1" ht="10.5" customHeight="1">
      <c r="A28" s="784" t="s">
        <v>21</v>
      </c>
      <c r="B28" s="785">
        <v>35907</v>
      </c>
      <c r="C28" s="785">
        <v>0</v>
      </c>
      <c r="D28" s="785">
        <f>SUM(B28:C28)</f>
        <v>35907</v>
      </c>
      <c r="E28" s="785">
        <v>34377</v>
      </c>
      <c r="F28" s="785">
        <v>0</v>
      </c>
      <c r="G28" s="786">
        <f>SUM(E28:F28)</f>
        <v>34377</v>
      </c>
      <c r="H28" s="762"/>
      <c r="I28" s="780"/>
      <c r="J28" s="780"/>
      <c r="K28" s="780"/>
      <c r="L28" s="780"/>
      <c r="M28" s="780"/>
      <c r="N28" s="780"/>
    </row>
    <row r="29" spans="1:14" s="763" customFormat="1" ht="10.5" customHeight="1">
      <c r="A29" s="784" t="s">
        <v>22</v>
      </c>
      <c r="B29" s="785"/>
      <c r="C29" s="785"/>
      <c r="D29" s="785"/>
      <c r="E29" s="785"/>
      <c r="F29" s="785"/>
      <c r="G29" s="786"/>
      <c r="H29" s="762"/>
      <c r="I29" s="780"/>
      <c r="J29" s="780"/>
      <c r="K29" s="780"/>
      <c r="L29" s="780"/>
      <c r="M29" s="780"/>
      <c r="N29" s="780"/>
    </row>
    <row r="30" spans="1:14" s="763" customFormat="1" ht="10.5" customHeight="1">
      <c r="A30" s="784" t="s">
        <v>23</v>
      </c>
      <c r="B30" s="785">
        <v>26546</v>
      </c>
      <c r="C30" s="785">
        <v>0</v>
      </c>
      <c r="D30" s="785">
        <f>SUM(B30:C30)</f>
        <v>26546</v>
      </c>
      <c r="E30" s="785">
        <v>19547</v>
      </c>
      <c r="F30" s="785">
        <v>0</v>
      </c>
      <c r="G30" s="786">
        <f>SUM(E30:F30)</f>
        <v>19547</v>
      </c>
      <c r="H30" s="787"/>
      <c r="I30" s="780"/>
      <c r="J30" s="780"/>
      <c r="K30" s="780"/>
      <c r="L30" s="780"/>
      <c r="M30" s="780"/>
      <c r="N30" s="780"/>
    </row>
    <row r="31" spans="1:14" s="763" customFormat="1" ht="10.5" customHeight="1">
      <c r="A31" s="784" t="s">
        <v>24</v>
      </c>
      <c r="B31" s="785"/>
      <c r="C31" s="785"/>
      <c r="D31" s="785"/>
      <c r="E31" s="785"/>
      <c r="F31" s="785"/>
      <c r="G31" s="786"/>
      <c r="H31" s="762"/>
      <c r="I31" s="780"/>
      <c r="J31" s="780"/>
      <c r="K31" s="780"/>
      <c r="L31" s="780"/>
      <c r="M31" s="780"/>
      <c r="N31" s="780"/>
    </row>
    <row r="32" spans="1:14" s="763" customFormat="1" ht="10.5" customHeight="1">
      <c r="A32" s="784" t="s">
        <v>25</v>
      </c>
      <c r="B32" s="785">
        <v>23077</v>
      </c>
      <c r="C32" s="785">
        <v>0</v>
      </c>
      <c r="D32" s="785">
        <f>SUM(B32:C32)</f>
        <v>23077</v>
      </c>
      <c r="E32" s="785">
        <v>28715</v>
      </c>
      <c r="F32" s="785">
        <v>0</v>
      </c>
      <c r="G32" s="786">
        <f>SUM(E32:F32)</f>
        <v>28715</v>
      </c>
      <c r="H32" s="762"/>
      <c r="I32" s="780"/>
      <c r="J32" s="780"/>
      <c r="K32" s="780"/>
      <c r="L32" s="780"/>
      <c r="M32" s="780"/>
      <c r="N32" s="780"/>
    </row>
    <row r="33" spans="1:14" s="763" customFormat="1" ht="10.5" customHeight="1">
      <c r="A33" s="784" t="s">
        <v>26</v>
      </c>
      <c r="B33" s="785"/>
      <c r="C33" s="785"/>
      <c r="D33" s="785"/>
      <c r="E33" s="785"/>
      <c r="F33" s="785"/>
      <c r="G33" s="786"/>
      <c r="H33" s="762"/>
      <c r="I33" s="780"/>
      <c r="J33" s="780"/>
      <c r="K33" s="780"/>
      <c r="L33" s="780"/>
      <c r="M33" s="780"/>
      <c r="N33" s="780"/>
    </row>
    <row r="34" spans="1:14" s="763" customFormat="1" ht="21.75" customHeight="1">
      <c r="A34" s="788" t="s">
        <v>89</v>
      </c>
      <c r="B34" s="782">
        <f>SUM(B35:B39)</f>
        <v>3296541</v>
      </c>
      <c r="C34" s="782">
        <f>SUM(C35:C39)</f>
        <v>0</v>
      </c>
      <c r="D34" s="782">
        <f>SUM(B34:C34)</f>
        <v>3296541</v>
      </c>
      <c r="E34" s="782">
        <f>SUM(E35:E39)</f>
        <v>3169964</v>
      </c>
      <c r="F34" s="782">
        <f>SUM(F35:F39)</f>
        <v>0</v>
      </c>
      <c r="G34" s="783">
        <f>SUM(G35:G39)</f>
        <v>3169964</v>
      </c>
      <c r="H34" s="761"/>
      <c r="I34" s="789"/>
      <c r="J34" s="789"/>
      <c r="K34" s="789"/>
      <c r="L34" s="789"/>
      <c r="M34" s="789"/>
      <c r="N34" s="789"/>
    </row>
    <row r="35" spans="1:14" s="763" customFormat="1" ht="11.25">
      <c r="A35" s="784" t="s">
        <v>27</v>
      </c>
      <c r="B35" s="785">
        <v>2818119</v>
      </c>
      <c r="C35" s="785"/>
      <c r="D35" s="785">
        <f>SUM(B35:C35)</f>
        <v>2818119</v>
      </c>
      <c r="E35" s="785">
        <v>2678484</v>
      </c>
      <c r="F35" s="785">
        <v>0</v>
      </c>
      <c r="G35" s="786">
        <f>SUM(E35:F35)</f>
        <v>2678484</v>
      </c>
      <c r="H35" s="761"/>
      <c r="I35" s="789"/>
      <c r="J35" s="789"/>
      <c r="K35" s="789"/>
      <c r="L35" s="789"/>
      <c r="M35" s="789"/>
      <c r="N35" s="789"/>
    </row>
    <row r="36" spans="1:14" s="763" customFormat="1" ht="11.25">
      <c r="A36" s="784" t="s">
        <v>28</v>
      </c>
      <c r="B36" s="785"/>
      <c r="C36" s="785"/>
      <c r="D36" s="785"/>
      <c r="E36" s="785"/>
      <c r="F36" s="785"/>
      <c r="G36" s="786"/>
      <c r="H36" s="761"/>
      <c r="I36" s="789"/>
      <c r="J36" s="789"/>
      <c r="K36" s="789"/>
      <c r="L36" s="789"/>
      <c r="M36" s="789"/>
      <c r="N36" s="789"/>
    </row>
    <row r="37" spans="1:14" s="763" customFormat="1" ht="11.25">
      <c r="A37" s="784" t="s">
        <v>31</v>
      </c>
      <c r="B37" s="785">
        <v>478422</v>
      </c>
      <c r="C37" s="785"/>
      <c r="D37" s="785">
        <f>B37</f>
        <v>478422</v>
      </c>
      <c r="E37" s="785">
        <v>491480</v>
      </c>
      <c r="F37" s="785"/>
      <c r="G37" s="786">
        <f>SUM(E37:F37)</f>
        <v>491480</v>
      </c>
      <c r="H37" s="761"/>
      <c r="I37" s="789"/>
      <c r="J37" s="789"/>
      <c r="K37" s="789"/>
      <c r="L37" s="789"/>
      <c r="M37" s="789"/>
      <c r="N37" s="789"/>
    </row>
    <row r="38" spans="1:14" s="763" customFormat="1" ht="11.25">
      <c r="A38" s="784" t="s">
        <v>32</v>
      </c>
      <c r="B38" s="785"/>
      <c r="C38" s="785"/>
      <c r="D38" s="785"/>
      <c r="E38" s="785"/>
      <c r="F38" s="785"/>
      <c r="G38" s="786"/>
      <c r="H38" s="761"/>
      <c r="I38" s="789"/>
      <c r="J38" s="789"/>
      <c r="K38" s="789"/>
      <c r="L38" s="789"/>
      <c r="M38" s="789"/>
      <c r="N38" s="789"/>
    </row>
    <row r="39" spans="1:14" s="763" customFormat="1" ht="21">
      <c r="A39" s="790" t="s">
        <v>33</v>
      </c>
      <c r="B39" s="785"/>
      <c r="C39" s="785"/>
      <c r="D39" s="785"/>
      <c r="E39" s="785"/>
      <c r="F39" s="785"/>
      <c r="G39" s="786"/>
      <c r="H39" s="761"/>
      <c r="I39" s="789"/>
      <c r="J39" s="789"/>
      <c r="K39" s="789"/>
      <c r="L39" s="789"/>
      <c r="M39" s="789"/>
      <c r="N39" s="789"/>
    </row>
    <row r="40" spans="1:14" s="763" customFormat="1" ht="4.5" customHeight="1">
      <c r="A40" s="781"/>
      <c r="B40" s="785"/>
      <c r="C40" s="785"/>
      <c r="D40" s="785"/>
      <c r="E40" s="785"/>
      <c r="F40" s="785"/>
      <c r="G40" s="786"/>
      <c r="H40" s="762"/>
      <c r="I40" s="780"/>
      <c r="J40" s="780"/>
      <c r="K40" s="780"/>
      <c r="L40" s="780"/>
      <c r="M40" s="780"/>
      <c r="N40" s="780"/>
    </row>
    <row r="41" spans="1:14" s="763" customFormat="1" ht="10.5" customHeight="1">
      <c r="A41" s="777" t="s">
        <v>827</v>
      </c>
      <c r="B41" s="791">
        <f>B43+B49+B59+B62+B67</f>
        <v>1040909</v>
      </c>
      <c r="C41" s="791">
        <f>C43+C49+C59+C62+C67</f>
        <v>0</v>
      </c>
      <c r="D41" s="791">
        <f>SUM(B41:C41)</f>
        <v>1040909</v>
      </c>
      <c r="E41" s="791">
        <f>E43+E49+E59+E62+E67</f>
        <v>1143766</v>
      </c>
      <c r="F41" s="791">
        <f>F43+F49+F59+F62+F67</f>
        <v>0</v>
      </c>
      <c r="G41" s="792">
        <f>G43+G49+G59+G62+G67</f>
        <v>1143766</v>
      </c>
      <c r="H41" s="762"/>
      <c r="I41" s="780"/>
      <c r="J41" s="780"/>
      <c r="K41" s="780"/>
      <c r="L41" s="780"/>
      <c r="M41" s="780"/>
      <c r="N41" s="780"/>
    </row>
    <row r="42" spans="1:14" s="763" customFormat="1" ht="8.25" customHeight="1">
      <c r="A42" s="777"/>
      <c r="B42" s="793"/>
      <c r="C42" s="793"/>
      <c r="D42" s="793"/>
      <c r="E42" s="793"/>
      <c r="F42" s="793"/>
      <c r="G42" s="794"/>
      <c r="H42" s="762"/>
      <c r="I42" s="780"/>
      <c r="J42" s="780"/>
      <c r="K42" s="780"/>
      <c r="L42" s="780"/>
      <c r="M42" s="780"/>
      <c r="N42" s="780"/>
    </row>
    <row r="43" spans="1:14" s="763" customFormat="1" ht="8.25" customHeight="1">
      <c r="A43" s="795" t="s">
        <v>34</v>
      </c>
      <c r="B43" s="782">
        <f>B44</f>
        <v>8885</v>
      </c>
      <c r="C43" s="782">
        <f>SUM(C44:C48)</f>
        <v>0</v>
      </c>
      <c r="D43" s="782">
        <f>SUM(B43:C43)</f>
        <v>8885</v>
      </c>
      <c r="E43" s="782">
        <f>SUM(E44:E48)</f>
        <v>5453</v>
      </c>
      <c r="F43" s="782">
        <f>SUM(F44:F48)</f>
        <v>0</v>
      </c>
      <c r="G43" s="783">
        <f>SUM(G44:G48)</f>
        <v>5453</v>
      </c>
      <c r="H43" s="762"/>
      <c r="I43" s="780"/>
      <c r="J43" s="780"/>
      <c r="K43" s="780"/>
      <c r="L43" s="780"/>
      <c r="M43" s="780"/>
      <c r="N43" s="780"/>
    </row>
    <row r="44" spans="1:14" s="763" customFormat="1" ht="10.5" customHeight="1">
      <c r="A44" s="784" t="s">
        <v>35</v>
      </c>
      <c r="B44" s="785">
        <v>8885</v>
      </c>
      <c r="C44" s="785">
        <v>0</v>
      </c>
      <c r="D44" s="785">
        <f>SUM(B44:C44)</f>
        <v>8885</v>
      </c>
      <c r="E44" s="785">
        <v>5453</v>
      </c>
      <c r="F44" s="785">
        <v>0</v>
      </c>
      <c r="G44" s="786">
        <f>SUM(E44:F44)</f>
        <v>5453</v>
      </c>
      <c r="H44" s="762"/>
      <c r="I44" s="780"/>
      <c r="J44" s="780"/>
      <c r="K44" s="780"/>
      <c r="L44" s="780"/>
      <c r="M44" s="780"/>
      <c r="N44" s="780"/>
    </row>
    <row r="45" spans="1:14" s="763" customFormat="1" ht="10.5" customHeight="1">
      <c r="A45" s="784" t="s">
        <v>36</v>
      </c>
      <c r="B45" s="785"/>
      <c r="C45" s="785"/>
      <c r="D45" s="785"/>
      <c r="E45" s="785"/>
      <c r="F45" s="785"/>
      <c r="G45" s="786"/>
      <c r="H45" s="762"/>
      <c r="I45" s="780"/>
      <c r="J45" s="780"/>
      <c r="K45" s="780"/>
      <c r="L45" s="780"/>
      <c r="M45" s="780"/>
      <c r="N45" s="780"/>
    </row>
    <row r="46" spans="1:14" s="763" customFormat="1" ht="10.5" customHeight="1">
      <c r="A46" s="784" t="s">
        <v>37</v>
      </c>
      <c r="B46" s="785"/>
      <c r="C46" s="785"/>
      <c r="D46" s="785"/>
      <c r="E46" s="785"/>
      <c r="F46" s="785"/>
      <c r="G46" s="786"/>
      <c r="H46" s="762"/>
      <c r="I46" s="780"/>
      <c r="J46" s="780"/>
      <c r="K46" s="780"/>
      <c r="L46" s="780"/>
      <c r="M46" s="780"/>
      <c r="N46" s="780"/>
    </row>
    <row r="47" spans="1:14" s="763" customFormat="1" ht="10.5" customHeight="1">
      <c r="A47" s="784" t="s">
        <v>38</v>
      </c>
      <c r="B47" s="785">
        <v>0</v>
      </c>
      <c r="C47" s="785">
        <v>0</v>
      </c>
      <c r="D47" s="785">
        <f>SUM(B47:C47)</f>
        <v>0</v>
      </c>
      <c r="E47" s="785">
        <v>0</v>
      </c>
      <c r="F47" s="785">
        <v>0</v>
      </c>
      <c r="G47" s="786">
        <f>SUM(E47:F47)</f>
        <v>0</v>
      </c>
      <c r="H47" s="762"/>
      <c r="I47" s="780"/>
      <c r="J47" s="780"/>
      <c r="K47" s="780"/>
      <c r="L47" s="780"/>
      <c r="M47" s="780"/>
      <c r="N47" s="780"/>
    </row>
    <row r="48" spans="1:14" s="763" customFormat="1" ht="21">
      <c r="A48" s="790" t="s">
        <v>39</v>
      </c>
      <c r="B48" s="785">
        <v>0</v>
      </c>
      <c r="C48" s="785">
        <v>0</v>
      </c>
      <c r="D48" s="785">
        <f>SUM(B48:C48)</f>
        <v>0</v>
      </c>
      <c r="E48" s="785">
        <v>0</v>
      </c>
      <c r="F48" s="785">
        <v>0</v>
      </c>
      <c r="G48" s="786">
        <f>SUM(E48:F48)</f>
        <v>0</v>
      </c>
      <c r="H48" s="762"/>
      <c r="I48" s="780"/>
      <c r="J48" s="780"/>
      <c r="K48" s="780"/>
      <c r="L48" s="780"/>
      <c r="M48" s="780"/>
      <c r="N48" s="780"/>
    </row>
    <row r="49" spans="1:14" s="763" customFormat="1" ht="10.5" customHeight="1">
      <c r="A49" s="795" t="s">
        <v>40</v>
      </c>
      <c r="B49" s="782">
        <f>SUM(B50:B53)</f>
        <v>89593</v>
      </c>
      <c r="C49" s="782">
        <f>SUM(C50:C53)</f>
        <v>0</v>
      </c>
      <c r="D49" s="782">
        <f>SUM(B49:C49)</f>
        <v>89593</v>
      </c>
      <c r="E49" s="782">
        <f>SUM(E50:E53)</f>
        <v>171945</v>
      </c>
      <c r="F49" s="782">
        <f>SUM(F50:F53)</f>
        <v>0</v>
      </c>
      <c r="G49" s="783">
        <f>SUM(G50:G53)</f>
        <v>171945</v>
      </c>
      <c r="H49" s="762"/>
      <c r="I49" s="780"/>
      <c r="J49" s="780"/>
      <c r="K49" s="780"/>
      <c r="L49" s="780"/>
      <c r="M49" s="780"/>
      <c r="N49" s="780"/>
    </row>
    <row r="50" spans="1:14" s="763" customFormat="1" ht="10.5" customHeight="1">
      <c r="A50" s="784" t="s">
        <v>41</v>
      </c>
      <c r="B50" s="785">
        <v>3633</v>
      </c>
      <c r="C50" s="785"/>
      <c r="D50" s="785">
        <f>SUM(B50:C50)</f>
        <v>3633</v>
      </c>
      <c r="E50" s="785">
        <v>5818</v>
      </c>
      <c r="F50" s="785">
        <v>0</v>
      </c>
      <c r="G50" s="786">
        <f aca="true" t="shared" si="0" ref="G50:G55">SUM(E50:F50)</f>
        <v>5818</v>
      </c>
      <c r="H50" s="762"/>
      <c r="I50" s="780"/>
      <c r="J50" s="780"/>
      <c r="K50" s="780"/>
      <c r="L50" s="780"/>
      <c r="M50" s="780"/>
      <c r="N50" s="780"/>
    </row>
    <row r="51" spans="1:14" s="763" customFormat="1" ht="10.5" customHeight="1">
      <c r="A51" s="784" t="s">
        <v>42</v>
      </c>
      <c r="B51" s="785">
        <v>76110</v>
      </c>
      <c r="C51" s="785"/>
      <c r="D51" s="785">
        <f>SUM(B51:C51)</f>
        <v>76110</v>
      </c>
      <c r="E51" s="785">
        <v>132942</v>
      </c>
      <c r="F51" s="785">
        <v>0</v>
      </c>
      <c r="G51" s="786">
        <f t="shared" si="0"/>
        <v>132942</v>
      </c>
      <c r="H51" s="762"/>
      <c r="I51" s="780"/>
      <c r="J51" s="780"/>
      <c r="K51" s="780"/>
      <c r="L51" s="780"/>
      <c r="M51" s="780"/>
      <c r="N51" s="780"/>
    </row>
    <row r="52" spans="1:14" s="763" customFormat="1" ht="10.5" customHeight="1">
      <c r="A52" s="784" t="s">
        <v>43</v>
      </c>
      <c r="B52" s="785"/>
      <c r="C52" s="785"/>
      <c r="D52" s="785"/>
      <c r="E52" s="785">
        <v>25796</v>
      </c>
      <c r="F52" s="785"/>
      <c r="G52" s="786">
        <f t="shared" si="0"/>
        <v>25796</v>
      </c>
      <c r="H52" s="762"/>
      <c r="I52" s="780"/>
      <c r="J52" s="780"/>
      <c r="K52" s="780"/>
      <c r="L52" s="780"/>
      <c r="M52" s="780"/>
      <c r="N52" s="780"/>
    </row>
    <row r="53" spans="1:14" s="763" customFormat="1" ht="10.5" customHeight="1">
      <c r="A53" s="784" t="s">
        <v>44</v>
      </c>
      <c r="B53" s="785">
        <v>9850</v>
      </c>
      <c r="C53" s="785"/>
      <c r="D53" s="785">
        <f>SUM(B53:C53)</f>
        <v>9850</v>
      </c>
      <c r="E53" s="785">
        <v>7389</v>
      </c>
      <c r="F53" s="785">
        <v>0</v>
      </c>
      <c r="G53" s="786">
        <f t="shared" si="0"/>
        <v>7389</v>
      </c>
      <c r="H53" s="762"/>
      <c r="I53" s="780"/>
      <c r="J53" s="780"/>
      <c r="K53" s="780"/>
      <c r="L53" s="780"/>
      <c r="M53" s="780"/>
      <c r="N53" s="780"/>
    </row>
    <row r="54" spans="1:14" s="763" customFormat="1" ht="21">
      <c r="A54" s="790" t="s">
        <v>45</v>
      </c>
      <c r="B54" s="785">
        <v>5487</v>
      </c>
      <c r="C54" s="785"/>
      <c r="D54" s="785">
        <f>SUM(B54:C54)</f>
        <v>5487</v>
      </c>
      <c r="E54" s="785">
        <v>0</v>
      </c>
      <c r="F54" s="785">
        <v>0</v>
      </c>
      <c r="G54" s="786">
        <f t="shared" si="0"/>
        <v>0</v>
      </c>
      <c r="H54" s="762"/>
      <c r="I54" s="780"/>
      <c r="J54" s="780"/>
      <c r="K54" s="780"/>
      <c r="L54" s="780"/>
      <c r="M54" s="780"/>
      <c r="N54" s="780"/>
    </row>
    <row r="55" spans="1:14" s="763" customFormat="1" ht="21">
      <c r="A55" s="790" t="s">
        <v>46</v>
      </c>
      <c r="B55" s="785">
        <v>2000</v>
      </c>
      <c r="C55" s="785"/>
      <c r="D55" s="785">
        <f>SUM(B55:C55)</f>
        <v>2000</v>
      </c>
      <c r="E55" s="785">
        <v>0</v>
      </c>
      <c r="F55" s="785">
        <v>0</v>
      </c>
      <c r="G55" s="786">
        <f t="shared" si="0"/>
        <v>0</v>
      </c>
      <c r="H55" s="762"/>
      <c r="I55" s="780"/>
      <c r="J55" s="780"/>
      <c r="K55" s="780"/>
      <c r="L55" s="780"/>
      <c r="M55" s="780"/>
      <c r="N55" s="780"/>
    </row>
    <row r="56" spans="1:14" s="763" customFormat="1" ht="11.25">
      <c r="A56" s="790" t="s">
        <v>47</v>
      </c>
      <c r="B56" s="785"/>
      <c r="C56" s="785"/>
      <c r="D56" s="785"/>
      <c r="E56" s="785"/>
      <c r="F56" s="785"/>
      <c r="G56" s="786"/>
      <c r="H56" s="762"/>
      <c r="I56" s="780"/>
      <c r="J56" s="780"/>
      <c r="K56" s="780"/>
      <c r="L56" s="780"/>
      <c r="M56" s="780"/>
      <c r="N56" s="780"/>
    </row>
    <row r="57" spans="1:14" s="763" customFormat="1" ht="18.75" customHeight="1">
      <c r="A57" s="790" t="s">
        <v>48</v>
      </c>
      <c r="B57" s="785"/>
      <c r="C57" s="785"/>
      <c r="D57" s="785"/>
      <c r="E57" s="785"/>
      <c r="F57" s="785"/>
      <c r="G57" s="786"/>
      <c r="H57" s="762"/>
      <c r="I57" s="780"/>
      <c r="J57" s="780"/>
      <c r="K57" s="780"/>
      <c r="L57" s="780"/>
      <c r="M57" s="780"/>
      <c r="N57" s="780"/>
    </row>
    <row r="58" spans="1:14" s="763" customFormat="1" ht="11.25">
      <c r="A58" s="790" t="s">
        <v>49</v>
      </c>
      <c r="B58" s="785"/>
      <c r="C58" s="785"/>
      <c r="D58" s="785"/>
      <c r="E58" s="785"/>
      <c r="F58" s="785"/>
      <c r="G58" s="786"/>
      <c r="H58" s="762"/>
      <c r="I58" s="780"/>
      <c r="J58" s="780"/>
      <c r="K58" s="780"/>
      <c r="L58" s="780"/>
      <c r="M58" s="780"/>
      <c r="N58" s="780"/>
    </row>
    <row r="59" spans="1:14" s="763" customFormat="1" ht="10.5" customHeight="1">
      <c r="A59" s="796" t="s">
        <v>50</v>
      </c>
      <c r="B59" s="797">
        <f>SUM(B60:B61)</f>
        <v>0</v>
      </c>
      <c r="C59" s="797">
        <f>SUM(C60:C61)</f>
        <v>0</v>
      </c>
      <c r="D59" s="797">
        <f>SUM(B59:C59)</f>
        <v>0</v>
      </c>
      <c r="E59" s="797">
        <f>SUM(E60:E61)</f>
        <v>0</v>
      </c>
      <c r="F59" s="797">
        <f>SUM(F60:F61)</f>
        <v>0</v>
      </c>
      <c r="G59" s="798">
        <f>SUM(G60:G61)</f>
        <v>0</v>
      </c>
      <c r="H59" s="762"/>
      <c r="I59" s="780"/>
      <c r="J59" s="780"/>
      <c r="K59" s="780"/>
      <c r="L59" s="780"/>
      <c r="M59" s="780"/>
      <c r="N59" s="780"/>
    </row>
    <row r="60" spans="1:14" s="763" customFormat="1" ht="10.5" customHeight="1">
      <c r="A60" s="784" t="s">
        <v>51</v>
      </c>
      <c r="B60" s="785"/>
      <c r="C60" s="785"/>
      <c r="D60" s="785"/>
      <c r="E60" s="785"/>
      <c r="F60" s="785"/>
      <c r="G60" s="786"/>
      <c r="H60" s="762"/>
      <c r="I60" s="780"/>
      <c r="J60" s="780"/>
      <c r="K60" s="780"/>
      <c r="L60" s="780"/>
      <c r="M60" s="780"/>
      <c r="N60" s="780"/>
    </row>
    <row r="61" spans="1:14" s="763" customFormat="1" ht="10.5" customHeight="1">
      <c r="A61" s="784" t="s">
        <v>52</v>
      </c>
      <c r="B61" s="785"/>
      <c r="C61" s="785"/>
      <c r="D61" s="785"/>
      <c r="E61" s="785"/>
      <c r="F61" s="785"/>
      <c r="G61" s="786"/>
      <c r="H61" s="762"/>
      <c r="I61" s="780"/>
      <c r="J61" s="780"/>
      <c r="K61" s="780"/>
      <c r="L61" s="780"/>
      <c r="M61" s="780"/>
      <c r="N61" s="780"/>
    </row>
    <row r="62" spans="1:14" s="763" customFormat="1" ht="10.5" customHeight="1">
      <c r="A62" s="796" t="s">
        <v>53</v>
      </c>
      <c r="B62" s="782">
        <f>SUM(B63:B66)</f>
        <v>897100</v>
      </c>
      <c r="C62" s="782">
        <f>SUM(C63:C66)</f>
        <v>0</v>
      </c>
      <c r="D62" s="782">
        <f>SUM(B62:C62)</f>
        <v>897100</v>
      </c>
      <c r="E62" s="782">
        <f>SUM(E63:E66)</f>
        <v>919951</v>
      </c>
      <c r="F62" s="782">
        <f>SUM(F63:F66)</f>
        <v>0</v>
      </c>
      <c r="G62" s="783">
        <f>SUM(G63:G66)</f>
        <v>919951</v>
      </c>
      <c r="H62" s="762"/>
      <c r="I62" s="780"/>
      <c r="J62" s="780"/>
      <c r="K62" s="780"/>
      <c r="L62" s="780"/>
      <c r="M62" s="780"/>
      <c r="N62" s="780"/>
    </row>
    <row r="63" spans="1:14" s="763" customFormat="1" ht="10.5" customHeight="1">
      <c r="A63" s="784" t="s">
        <v>54</v>
      </c>
      <c r="B63" s="785">
        <v>231</v>
      </c>
      <c r="C63" s="785">
        <v>0</v>
      </c>
      <c r="D63" s="785">
        <f>SUM(B63:C63)</f>
        <v>231</v>
      </c>
      <c r="E63" s="785">
        <v>0</v>
      </c>
      <c r="F63" s="785"/>
      <c r="G63" s="786">
        <f>SUM(E63:F63)</f>
        <v>0</v>
      </c>
      <c r="H63" s="762"/>
      <c r="I63" s="780"/>
      <c r="J63" s="780"/>
      <c r="K63" s="780"/>
      <c r="L63" s="780"/>
      <c r="M63" s="780"/>
      <c r="N63" s="780"/>
    </row>
    <row r="64" spans="1:14" s="763" customFormat="1" ht="10.5" customHeight="1">
      <c r="A64" s="784" t="s">
        <v>55</v>
      </c>
      <c r="B64" s="785">
        <v>896772</v>
      </c>
      <c r="C64" s="785"/>
      <c r="D64" s="785">
        <f>SUM(B64:C64)</f>
        <v>896772</v>
      </c>
      <c r="E64" s="785">
        <v>919818</v>
      </c>
      <c r="F64" s="785"/>
      <c r="G64" s="786">
        <f>SUM(E64:F64)</f>
        <v>919818</v>
      </c>
      <c r="H64" s="762"/>
      <c r="I64" s="780"/>
      <c r="J64" s="780"/>
      <c r="K64" s="780"/>
      <c r="L64" s="780"/>
      <c r="M64" s="780"/>
      <c r="N64" s="780"/>
    </row>
    <row r="65" spans="1:14" s="763" customFormat="1" ht="10.5" customHeight="1">
      <c r="A65" s="784" t="s">
        <v>56</v>
      </c>
      <c r="B65" s="785"/>
      <c r="C65" s="785"/>
      <c r="D65" s="785"/>
      <c r="E65" s="785"/>
      <c r="F65" s="785"/>
      <c r="G65" s="786"/>
      <c r="H65" s="762"/>
      <c r="I65" s="780"/>
      <c r="J65" s="780"/>
      <c r="K65" s="780"/>
      <c r="L65" s="780"/>
      <c r="M65" s="780"/>
      <c r="N65" s="780"/>
    </row>
    <row r="66" spans="1:14" s="763" customFormat="1" ht="10.5" customHeight="1">
      <c r="A66" s="784" t="s">
        <v>57</v>
      </c>
      <c r="B66" s="785">
        <v>97</v>
      </c>
      <c r="C66" s="785">
        <v>0</v>
      </c>
      <c r="D66" s="785">
        <f>SUM(B66:C66)</f>
        <v>97</v>
      </c>
      <c r="E66" s="785">
        <v>133</v>
      </c>
      <c r="F66" s="785"/>
      <c r="G66" s="786">
        <f>SUM(E66:F66)</f>
        <v>133</v>
      </c>
      <c r="H66" s="762"/>
      <c r="I66" s="780"/>
      <c r="J66" s="780"/>
      <c r="K66" s="780"/>
      <c r="L66" s="780"/>
      <c r="M66" s="780"/>
      <c r="N66" s="780"/>
    </row>
    <row r="67" spans="1:14" s="763" customFormat="1" ht="10.5" customHeight="1">
      <c r="A67" s="796" t="s">
        <v>58</v>
      </c>
      <c r="B67" s="782">
        <f>SUM(B68:B71)</f>
        <v>45331</v>
      </c>
      <c r="C67" s="782">
        <f>SUM(C68:C71)</f>
        <v>0</v>
      </c>
      <c r="D67" s="782">
        <f>SUM(B67:C67)</f>
        <v>45331</v>
      </c>
      <c r="E67" s="782">
        <f>SUM(E68:E71)</f>
        <v>46417</v>
      </c>
      <c r="F67" s="782">
        <f>SUM(F68:F71)</f>
        <v>0</v>
      </c>
      <c r="G67" s="783">
        <f>SUM(G68:G71)</f>
        <v>46417</v>
      </c>
      <c r="H67" s="762"/>
      <c r="I67" s="780"/>
      <c r="J67" s="780"/>
      <c r="K67" s="780"/>
      <c r="L67" s="780"/>
      <c r="M67" s="780"/>
      <c r="N67" s="780"/>
    </row>
    <row r="68" spans="1:14" s="763" customFormat="1" ht="10.5" customHeight="1">
      <c r="A68" s="784" t="s">
        <v>59</v>
      </c>
      <c r="B68" s="785">
        <v>23546</v>
      </c>
      <c r="C68" s="785"/>
      <c r="D68" s="785">
        <f>SUM(B68:C68)</f>
        <v>23546</v>
      </c>
      <c r="E68" s="785">
        <v>25892</v>
      </c>
      <c r="F68" s="785"/>
      <c r="G68" s="786">
        <f>SUM(E68:F68)</f>
        <v>25892</v>
      </c>
      <c r="H68" s="762"/>
      <c r="I68" s="780"/>
      <c r="J68" s="780"/>
      <c r="K68" s="780"/>
      <c r="L68" s="780"/>
      <c r="M68" s="780"/>
      <c r="N68" s="780"/>
    </row>
    <row r="69" spans="1:14" s="763" customFormat="1" ht="10.5" customHeight="1">
      <c r="A69" s="784" t="s">
        <v>60</v>
      </c>
      <c r="B69" s="785">
        <v>21785</v>
      </c>
      <c r="C69" s="785"/>
      <c r="D69" s="785">
        <v>24348</v>
      </c>
      <c r="E69" s="785">
        <v>20525</v>
      </c>
      <c r="F69" s="785"/>
      <c r="G69" s="786">
        <f>SUM(E69:F69)</f>
        <v>20525</v>
      </c>
      <c r="H69" s="762"/>
      <c r="I69" s="780"/>
      <c r="J69" s="780"/>
      <c r="K69" s="780"/>
      <c r="L69" s="780"/>
      <c r="M69" s="780"/>
      <c r="N69" s="780"/>
    </row>
    <row r="70" spans="1:14" s="763" customFormat="1" ht="10.5" customHeight="1">
      <c r="A70" s="784" t="s">
        <v>61</v>
      </c>
      <c r="B70" s="785">
        <v>0</v>
      </c>
      <c r="C70" s="785"/>
      <c r="D70" s="785">
        <v>0</v>
      </c>
      <c r="E70" s="785">
        <v>0</v>
      </c>
      <c r="F70" s="785"/>
      <c r="G70" s="786">
        <f>E70+F70</f>
        <v>0</v>
      </c>
      <c r="H70" s="762"/>
      <c r="I70" s="780"/>
      <c r="J70" s="780"/>
      <c r="K70" s="780"/>
      <c r="L70" s="780"/>
      <c r="M70" s="780"/>
      <c r="N70" s="780"/>
    </row>
    <row r="71" spans="1:14" s="763" customFormat="1" ht="10.5" customHeight="1" thickBot="1">
      <c r="A71" s="784" t="s">
        <v>62</v>
      </c>
      <c r="B71" s="785"/>
      <c r="C71" s="785"/>
      <c r="D71" s="785"/>
      <c r="E71" s="785"/>
      <c r="F71" s="785"/>
      <c r="G71" s="786"/>
      <c r="H71" s="762"/>
      <c r="I71" s="780"/>
      <c r="J71" s="780"/>
      <c r="K71" s="780"/>
      <c r="L71" s="780"/>
      <c r="M71" s="780"/>
      <c r="N71" s="780"/>
    </row>
    <row r="72" spans="1:14" s="763" customFormat="1" ht="15" customHeight="1" thickBot="1" thickTop="1">
      <c r="A72" s="799" t="s">
        <v>108</v>
      </c>
      <c r="B72" s="800">
        <f>B10+B41</f>
        <v>8475825</v>
      </c>
      <c r="C72" s="800">
        <f>C10+C41</f>
        <v>0</v>
      </c>
      <c r="D72" s="800">
        <f>SUM(B72:C72)</f>
        <v>8475825</v>
      </c>
      <c r="E72" s="800">
        <f>E10+E41</f>
        <v>8585428</v>
      </c>
      <c r="F72" s="800">
        <f>F10+F41</f>
        <v>0</v>
      </c>
      <c r="G72" s="801">
        <f>G10+G41</f>
        <v>8585428</v>
      </c>
      <c r="H72" s="802"/>
      <c r="I72" s="803"/>
      <c r="J72" s="803"/>
      <c r="K72" s="803"/>
      <c r="L72" s="803"/>
      <c r="M72" s="803"/>
      <c r="N72" s="803"/>
    </row>
    <row r="73" spans="1:14" s="763" customFormat="1" ht="12" customHeight="1" thickTop="1">
      <c r="A73" s="804"/>
      <c r="B73" s="789"/>
      <c r="C73" s="789"/>
      <c r="D73" s="789"/>
      <c r="E73" s="789"/>
      <c r="F73" s="789"/>
      <c r="G73" s="789"/>
      <c r="H73" s="802"/>
      <c r="I73" s="803"/>
      <c r="J73" s="803"/>
      <c r="K73" s="803"/>
      <c r="L73" s="803"/>
      <c r="M73" s="803"/>
      <c r="N73" s="803"/>
    </row>
    <row r="74" spans="1:14" s="763" customFormat="1" ht="12" customHeight="1">
      <c r="A74" s="804"/>
      <c r="B74" s="789"/>
      <c r="C74" s="789"/>
      <c r="D74" s="789"/>
      <c r="E74" s="789"/>
      <c r="F74" s="789"/>
      <c r="G74" s="789"/>
      <c r="H74" s="802"/>
      <c r="I74" s="803"/>
      <c r="J74" s="803"/>
      <c r="K74" s="803"/>
      <c r="L74" s="803"/>
      <c r="M74" s="803"/>
      <c r="N74" s="803"/>
    </row>
    <row r="75" spans="1:14" s="763" customFormat="1" ht="12" customHeight="1" thickBot="1">
      <c r="A75" s="804"/>
      <c r="B75" s="789"/>
      <c r="D75" s="789"/>
      <c r="E75" s="789"/>
      <c r="F75" s="789"/>
      <c r="G75" s="760" t="s">
        <v>94</v>
      </c>
      <c r="H75" s="802"/>
      <c r="I75" s="803"/>
      <c r="J75" s="803"/>
      <c r="K75" s="803"/>
      <c r="L75" s="803"/>
      <c r="M75" s="803"/>
      <c r="N75" s="803"/>
    </row>
    <row r="76" spans="1:14" s="763" customFormat="1" ht="9.75" customHeight="1">
      <c r="A76" s="1523" t="s">
        <v>90</v>
      </c>
      <c r="B76" s="1513" t="s">
        <v>815</v>
      </c>
      <c r="C76" s="1513" t="s">
        <v>816</v>
      </c>
      <c r="D76" s="1513" t="s">
        <v>834</v>
      </c>
      <c r="E76" s="1513" t="s">
        <v>818</v>
      </c>
      <c r="F76" s="1513" t="s">
        <v>819</v>
      </c>
      <c r="G76" s="1516" t="s">
        <v>835</v>
      </c>
      <c r="H76" s="761"/>
      <c r="I76" s="762"/>
      <c r="J76" s="762"/>
      <c r="K76" s="762"/>
      <c r="L76" s="762"/>
      <c r="M76" s="762"/>
      <c r="N76" s="762"/>
    </row>
    <row r="77" spans="1:14" s="763" customFormat="1" ht="9.75" customHeight="1">
      <c r="A77" s="1524"/>
      <c r="B77" s="1514"/>
      <c r="C77" s="1514"/>
      <c r="D77" s="1514"/>
      <c r="E77" s="1514"/>
      <c r="F77" s="1514"/>
      <c r="G77" s="1517"/>
      <c r="H77" s="764"/>
      <c r="I77" s="762"/>
      <c r="J77" s="762"/>
      <c r="K77" s="762"/>
      <c r="L77" s="762"/>
      <c r="M77" s="762"/>
      <c r="N77" s="762"/>
    </row>
    <row r="78" spans="1:14" s="763" customFormat="1" ht="9.75" customHeight="1">
      <c r="A78" s="1524"/>
      <c r="B78" s="1514"/>
      <c r="C78" s="1514"/>
      <c r="D78" s="1514"/>
      <c r="E78" s="1514"/>
      <c r="F78" s="1514"/>
      <c r="G78" s="1517"/>
      <c r="H78" s="764"/>
      <c r="I78" s="762"/>
      <c r="J78" s="762"/>
      <c r="K78" s="762"/>
      <c r="L78" s="762"/>
      <c r="M78" s="762"/>
      <c r="N78" s="762"/>
    </row>
    <row r="79" spans="1:14" s="763" customFormat="1" ht="10.5" customHeight="1" thickBot="1">
      <c r="A79" s="1525"/>
      <c r="B79" s="1515"/>
      <c r="C79" s="1515"/>
      <c r="D79" s="1515"/>
      <c r="E79" s="1515"/>
      <c r="F79" s="1515"/>
      <c r="G79" s="1518"/>
      <c r="H79" s="761"/>
      <c r="I79" s="762"/>
      <c r="J79" s="762"/>
      <c r="K79" s="762"/>
      <c r="L79" s="762"/>
      <c r="M79" s="762"/>
      <c r="N79" s="762"/>
    </row>
    <row r="80" spans="1:13" s="763" customFormat="1" ht="12.75">
      <c r="A80" s="805"/>
      <c r="B80" s="806"/>
      <c r="C80" s="806"/>
      <c r="D80" s="806"/>
      <c r="E80" s="806"/>
      <c r="F80" s="807"/>
      <c r="G80" s="808"/>
      <c r="M80" s="761"/>
    </row>
    <row r="81" spans="1:13" s="763" customFormat="1" ht="7.5" customHeight="1">
      <c r="A81" s="795"/>
      <c r="B81" s="807"/>
      <c r="C81" s="807"/>
      <c r="D81" s="807"/>
      <c r="E81" s="807"/>
      <c r="F81" s="807"/>
      <c r="G81" s="808"/>
      <c r="M81" s="761"/>
    </row>
    <row r="82" spans="1:13" s="763" customFormat="1" ht="10.5" customHeight="1">
      <c r="A82" s="777" t="s">
        <v>63</v>
      </c>
      <c r="B82" s="809">
        <f>B84+B91</f>
        <v>7351144</v>
      </c>
      <c r="C82" s="793">
        <f>C84+C91</f>
        <v>0</v>
      </c>
      <c r="D82" s="793">
        <f>SUM(B82:C82)</f>
        <v>7351144</v>
      </c>
      <c r="E82" s="793">
        <f>E84+E91</f>
        <v>7670414</v>
      </c>
      <c r="F82" s="793">
        <f>F84+F91</f>
        <v>0</v>
      </c>
      <c r="G82" s="794">
        <f>G84+G91</f>
        <v>7670414</v>
      </c>
      <c r="M82" s="761"/>
    </row>
    <row r="83" spans="1:13" s="763" customFormat="1" ht="10.5" customHeight="1">
      <c r="A83" s="777"/>
      <c r="B83" s="793"/>
      <c r="C83" s="793"/>
      <c r="D83" s="793"/>
      <c r="E83" s="793"/>
      <c r="F83" s="793"/>
      <c r="G83" s="794"/>
      <c r="M83" s="761"/>
    </row>
    <row r="84" spans="1:14" s="763" customFormat="1" ht="11.25">
      <c r="A84" s="781" t="s">
        <v>64</v>
      </c>
      <c r="B84" s="810">
        <f>SUM(B85:B88)</f>
        <v>3175929</v>
      </c>
      <c r="C84" s="810">
        <f>SUM(C85:C90)</f>
        <v>0</v>
      </c>
      <c r="D84" s="810">
        <f aca="true" t="shared" si="1" ref="D84:D98">SUM(B84:C84)</f>
        <v>3175929</v>
      </c>
      <c r="E84" s="810">
        <f>SUM(E85:E88)</f>
        <v>3347235</v>
      </c>
      <c r="F84" s="810">
        <f>SUM(F85:F90)</f>
        <v>0</v>
      </c>
      <c r="G84" s="811">
        <f aca="true" t="shared" si="2" ref="G84:G90">SUM(E84:F84)</f>
        <v>3347235</v>
      </c>
      <c r="H84" s="762"/>
      <c r="I84" s="780"/>
      <c r="J84" s="780"/>
      <c r="K84" s="780"/>
      <c r="L84" s="780"/>
      <c r="M84" s="780"/>
      <c r="N84" s="780"/>
    </row>
    <row r="85" spans="1:14" s="763" customFormat="1" ht="11.25">
      <c r="A85" s="784" t="s">
        <v>65</v>
      </c>
      <c r="B85" s="785">
        <v>2187342</v>
      </c>
      <c r="C85" s="785">
        <v>0</v>
      </c>
      <c r="D85" s="785">
        <f t="shared" si="1"/>
        <v>2187342</v>
      </c>
      <c r="E85" s="812">
        <v>2339063</v>
      </c>
      <c r="F85" s="785">
        <v>0</v>
      </c>
      <c r="G85" s="786">
        <f t="shared" si="2"/>
        <v>2339063</v>
      </c>
      <c r="H85" s="762"/>
      <c r="I85" s="780"/>
      <c r="J85" s="780"/>
      <c r="K85" s="780"/>
      <c r="L85" s="780"/>
      <c r="M85" s="780"/>
      <c r="N85" s="780"/>
    </row>
    <row r="86" spans="1:14" s="763" customFormat="1" ht="19.5" customHeight="1">
      <c r="A86" s="784" t="s">
        <v>66</v>
      </c>
      <c r="B86" s="785">
        <v>311530</v>
      </c>
      <c r="C86" s="785">
        <v>0</v>
      </c>
      <c r="D86" s="785">
        <f t="shared" si="1"/>
        <v>311530</v>
      </c>
      <c r="E86" s="785">
        <v>393425</v>
      </c>
      <c r="F86" s="785">
        <v>0</v>
      </c>
      <c r="G86" s="786">
        <f t="shared" si="2"/>
        <v>393425</v>
      </c>
      <c r="H86" s="762"/>
      <c r="I86" s="780"/>
      <c r="J86" s="780"/>
      <c r="K86" s="780"/>
      <c r="L86" s="780"/>
      <c r="M86" s="780"/>
      <c r="N86" s="780"/>
    </row>
    <row r="87" spans="1:7" s="763" customFormat="1" ht="19.5" customHeight="1">
      <c r="A87" s="784" t="s">
        <v>67</v>
      </c>
      <c r="B87" s="813">
        <v>270005</v>
      </c>
      <c r="C87" s="813">
        <v>0</v>
      </c>
      <c r="D87" s="785">
        <f t="shared" si="1"/>
        <v>270005</v>
      </c>
      <c r="E87" s="813">
        <v>277744</v>
      </c>
      <c r="F87" s="813">
        <v>0</v>
      </c>
      <c r="G87" s="786">
        <f t="shared" si="2"/>
        <v>277744</v>
      </c>
    </row>
    <row r="88" spans="1:7" s="763" customFormat="1" ht="19.5" customHeight="1">
      <c r="A88" s="784" t="s">
        <v>68</v>
      </c>
      <c r="B88" s="814">
        <v>407052</v>
      </c>
      <c r="C88" s="813">
        <v>0</v>
      </c>
      <c r="D88" s="785">
        <f t="shared" si="1"/>
        <v>407052</v>
      </c>
      <c r="E88" s="813">
        <v>337003</v>
      </c>
      <c r="F88" s="813">
        <v>0</v>
      </c>
      <c r="G88" s="786">
        <f t="shared" si="2"/>
        <v>337003</v>
      </c>
    </row>
    <row r="89" spans="1:7" s="763" customFormat="1" ht="19.5" customHeight="1">
      <c r="A89" s="784" t="s">
        <v>69</v>
      </c>
      <c r="B89" s="815">
        <v>0</v>
      </c>
      <c r="C89" s="815">
        <v>0</v>
      </c>
      <c r="D89" s="785">
        <f t="shared" si="1"/>
        <v>0</v>
      </c>
      <c r="E89" s="813">
        <v>0</v>
      </c>
      <c r="F89" s="815">
        <v>0</v>
      </c>
      <c r="G89" s="786">
        <f t="shared" si="2"/>
        <v>0</v>
      </c>
    </row>
    <row r="90" spans="1:14" s="763" customFormat="1" ht="19.5" customHeight="1">
      <c r="A90" s="784" t="s">
        <v>70</v>
      </c>
      <c r="B90" s="785">
        <v>0</v>
      </c>
      <c r="C90" s="785">
        <v>0</v>
      </c>
      <c r="D90" s="785">
        <f t="shared" si="1"/>
        <v>0</v>
      </c>
      <c r="E90" s="785">
        <v>0</v>
      </c>
      <c r="F90" s="785">
        <v>0</v>
      </c>
      <c r="G90" s="786">
        <f t="shared" si="2"/>
        <v>0</v>
      </c>
      <c r="H90" s="762"/>
      <c r="I90" s="780"/>
      <c r="J90" s="780"/>
      <c r="K90" s="780"/>
      <c r="L90" s="780"/>
      <c r="M90" s="780"/>
      <c r="N90" s="780"/>
    </row>
    <row r="91" spans="1:14" s="763" customFormat="1" ht="19.5" customHeight="1">
      <c r="A91" s="781" t="s">
        <v>91</v>
      </c>
      <c r="B91" s="810">
        <f>SUM(B92:B98)</f>
        <v>4175215</v>
      </c>
      <c r="C91" s="810">
        <f>SUM(C92:C98)</f>
        <v>0</v>
      </c>
      <c r="D91" s="810">
        <f t="shared" si="1"/>
        <v>4175215</v>
      </c>
      <c r="E91" s="810">
        <f>SUM(E92:E98)</f>
        <v>4323179</v>
      </c>
      <c r="F91" s="810">
        <f>SUM(F92:F98)</f>
        <v>0</v>
      </c>
      <c r="G91" s="811">
        <f>SUM(G92:G98)</f>
        <v>4323179</v>
      </c>
      <c r="H91" s="762"/>
      <c r="I91" s="780"/>
      <c r="J91" s="780"/>
      <c r="K91" s="780"/>
      <c r="L91" s="780"/>
      <c r="M91" s="780"/>
      <c r="N91" s="780"/>
    </row>
    <row r="92" spans="1:14" s="763" customFormat="1" ht="19.5" customHeight="1">
      <c r="A92" s="784" t="s">
        <v>71</v>
      </c>
      <c r="B92" s="785">
        <v>2359931</v>
      </c>
      <c r="C92" s="785">
        <v>0</v>
      </c>
      <c r="D92" s="785">
        <f t="shared" si="1"/>
        <v>2359931</v>
      </c>
      <c r="E92" s="785">
        <v>2374880</v>
      </c>
      <c r="F92" s="785">
        <v>0</v>
      </c>
      <c r="G92" s="786">
        <f aca="true" t="shared" si="3" ref="G92:G98">SUM(E92:F92)</f>
        <v>2374880</v>
      </c>
      <c r="H92" s="762"/>
      <c r="I92" s="780"/>
      <c r="J92" s="780"/>
      <c r="K92" s="780"/>
      <c r="L92" s="780"/>
      <c r="M92" s="780"/>
      <c r="N92" s="780"/>
    </row>
    <row r="93" spans="1:14" s="763" customFormat="1" ht="19.5" customHeight="1">
      <c r="A93" s="784" t="s">
        <v>72</v>
      </c>
      <c r="B93" s="785">
        <v>41386</v>
      </c>
      <c r="C93" s="785">
        <v>0</v>
      </c>
      <c r="D93" s="785">
        <f t="shared" si="1"/>
        <v>41386</v>
      </c>
      <c r="E93" s="785">
        <v>41386</v>
      </c>
      <c r="F93" s="785">
        <v>0</v>
      </c>
      <c r="G93" s="786">
        <f t="shared" si="3"/>
        <v>41386</v>
      </c>
      <c r="H93" s="762"/>
      <c r="I93" s="780"/>
      <c r="J93" s="780"/>
      <c r="K93" s="780"/>
      <c r="L93" s="780"/>
      <c r="M93" s="780"/>
      <c r="N93" s="780"/>
    </row>
    <row r="94" spans="1:7" s="763" customFormat="1" ht="19.5" customHeight="1">
      <c r="A94" s="784" t="s">
        <v>73</v>
      </c>
      <c r="B94" s="813">
        <v>234285</v>
      </c>
      <c r="C94" s="813">
        <v>0</v>
      </c>
      <c r="D94" s="813">
        <f t="shared" si="1"/>
        <v>234285</v>
      </c>
      <c r="E94" s="813">
        <v>234285</v>
      </c>
      <c r="F94" s="813">
        <v>0</v>
      </c>
      <c r="G94" s="816">
        <f t="shared" si="3"/>
        <v>234285</v>
      </c>
    </row>
    <row r="95" spans="1:7" s="763" customFormat="1" ht="19.5" customHeight="1">
      <c r="A95" s="784" t="s">
        <v>74</v>
      </c>
      <c r="B95" s="814">
        <v>11864</v>
      </c>
      <c r="C95" s="813">
        <v>0</v>
      </c>
      <c r="D95" s="813">
        <f t="shared" si="1"/>
        <v>11864</v>
      </c>
      <c r="E95" s="813">
        <v>11864</v>
      </c>
      <c r="F95" s="813">
        <v>0</v>
      </c>
      <c r="G95" s="816">
        <f t="shared" si="3"/>
        <v>11864</v>
      </c>
    </row>
    <row r="96" spans="1:7" s="763" customFormat="1" ht="19.5" customHeight="1">
      <c r="A96" s="784" t="s">
        <v>75</v>
      </c>
      <c r="B96" s="815">
        <v>1527749</v>
      </c>
      <c r="C96" s="815">
        <v>0</v>
      </c>
      <c r="D96" s="813">
        <f t="shared" si="1"/>
        <v>1527749</v>
      </c>
      <c r="E96" s="813">
        <v>1660764</v>
      </c>
      <c r="F96" s="815">
        <v>0</v>
      </c>
      <c r="G96" s="786">
        <f t="shared" si="3"/>
        <v>1660764</v>
      </c>
    </row>
    <row r="97" spans="1:14" s="763" customFormat="1" ht="19.5" customHeight="1">
      <c r="A97" s="790" t="s">
        <v>76</v>
      </c>
      <c r="B97" s="785">
        <v>0</v>
      </c>
      <c r="C97" s="785">
        <v>0</v>
      </c>
      <c r="D97" s="813">
        <f t="shared" si="1"/>
        <v>0</v>
      </c>
      <c r="E97" s="785">
        <v>0</v>
      </c>
      <c r="F97" s="785">
        <v>0</v>
      </c>
      <c r="G97" s="786">
        <f t="shared" si="3"/>
        <v>0</v>
      </c>
      <c r="H97" s="762"/>
      <c r="I97" s="780"/>
      <c r="J97" s="780"/>
      <c r="K97" s="780"/>
      <c r="L97" s="780"/>
      <c r="M97" s="780"/>
      <c r="N97" s="780"/>
    </row>
    <row r="98" spans="1:14" s="763" customFormat="1" ht="19.5" customHeight="1">
      <c r="A98" s="790" t="s">
        <v>77</v>
      </c>
      <c r="B98" s="785">
        <v>0</v>
      </c>
      <c r="C98" s="785">
        <v>0</v>
      </c>
      <c r="D98" s="813">
        <f t="shared" si="1"/>
        <v>0</v>
      </c>
      <c r="E98" s="785">
        <v>0</v>
      </c>
      <c r="F98" s="785">
        <v>0</v>
      </c>
      <c r="G98" s="786">
        <f t="shared" si="3"/>
        <v>0</v>
      </c>
      <c r="H98" s="762"/>
      <c r="I98" s="780"/>
      <c r="J98" s="780"/>
      <c r="K98" s="780"/>
      <c r="L98" s="780"/>
      <c r="M98" s="780"/>
      <c r="N98" s="780"/>
    </row>
    <row r="99" spans="1:7" s="763" customFormat="1" ht="10.5" customHeight="1">
      <c r="A99" s="796"/>
      <c r="B99" s="813"/>
      <c r="C99" s="813"/>
      <c r="D99" s="813"/>
      <c r="E99" s="813"/>
      <c r="F99" s="813"/>
      <c r="G99" s="816"/>
    </row>
    <row r="100" spans="1:7" s="763" customFormat="1" ht="21">
      <c r="A100" s="817" t="s">
        <v>78</v>
      </c>
      <c r="B100" s="818">
        <f>SUM(B102:B103)</f>
        <v>525029</v>
      </c>
      <c r="C100" s="818">
        <f>SUM(C102:C103)</f>
        <v>0</v>
      </c>
      <c r="D100" s="818">
        <f>SUM(B100:C100)</f>
        <v>525029</v>
      </c>
      <c r="E100" s="818">
        <f>SUM(E102:E103)</f>
        <v>518058</v>
      </c>
      <c r="F100" s="818">
        <f>SUM(F102:F103)</f>
        <v>0</v>
      </c>
      <c r="G100" s="819">
        <f>SUM(G102:G103)</f>
        <v>518058</v>
      </c>
    </row>
    <row r="101" spans="1:7" s="763" customFormat="1" ht="10.5" customHeight="1">
      <c r="A101" s="796"/>
      <c r="B101" s="813"/>
      <c r="C101" s="813"/>
      <c r="D101" s="813"/>
      <c r="E101" s="813"/>
      <c r="F101" s="813"/>
      <c r="G101" s="816"/>
    </row>
    <row r="102" spans="1:7" s="763" customFormat="1" ht="22.5">
      <c r="A102" s="796" t="s">
        <v>83</v>
      </c>
      <c r="B102" s="813">
        <v>525029</v>
      </c>
      <c r="C102" s="813"/>
      <c r="D102" s="813">
        <f>SUM(B102:C102)</f>
        <v>525029</v>
      </c>
      <c r="E102" s="813">
        <v>518058</v>
      </c>
      <c r="F102" s="813">
        <v>0</v>
      </c>
      <c r="G102" s="786">
        <f>SUM(E102:F102)</f>
        <v>518058</v>
      </c>
    </row>
    <row r="103" spans="1:14" s="763" customFormat="1" ht="22.5">
      <c r="A103" s="796" t="s">
        <v>84</v>
      </c>
      <c r="B103" s="785"/>
      <c r="C103" s="785"/>
      <c r="D103" s="785"/>
      <c r="E103" s="785"/>
      <c r="F103" s="785"/>
      <c r="G103" s="786"/>
      <c r="H103" s="762"/>
      <c r="I103" s="780"/>
      <c r="J103" s="780"/>
      <c r="K103" s="780"/>
      <c r="L103" s="780"/>
      <c r="M103" s="780"/>
      <c r="N103" s="780"/>
    </row>
    <row r="104" spans="1:14" s="763" customFormat="1" ht="12" thickBot="1">
      <c r="A104" s="790"/>
      <c r="B104" s="785"/>
      <c r="C104" s="785"/>
      <c r="D104" s="785"/>
      <c r="E104" s="785"/>
      <c r="F104" s="785"/>
      <c r="G104" s="820"/>
      <c r="H104" s="762"/>
      <c r="I104" s="780"/>
      <c r="J104" s="780"/>
      <c r="K104" s="780"/>
      <c r="L104" s="780"/>
      <c r="M104" s="780"/>
      <c r="N104" s="780"/>
    </row>
    <row r="105" spans="1:14" s="763" customFormat="1" ht="15" customHeight="1" thickBot="1" thickTop="1">
      <c r="A105" s="799" t="s">
        <v>108</v>
      </c>
      <c r="B105" s="800">
        <f>B82+B100</f>
        <v>7876173</v>
      </c>
      <c r="C105" s="821">
        <f>C82+C100</f>
        <v>0</v>
      </c>
      <c r="D105" s="821">
        <f>SUM(B105:C105)</f>
        <v>7876173</v>
      </c>
      <c r="E105" s="821">
        <f>E82+E100</f>
        <v>8188472</v>
      </c>
      <c r="F105" s="821">
        <f>F82+F100</f>
        <v>0</v>
      </c>
      <c r="G105" s="822">
        <f>G82+G100</f>
        <v>8188472</v>
      </c>
      <c r="H105" s="802"/>
      <c r="I105" s="803"/>
      <c r="J105" s="803"/>
      <c r="K105" s="803"/>
      <c r="L105" s="803"/>
      <c r="M105" s="803"/>
      <c r="N105" s="803"/>
    </row>
    <row r="106" spans="1:2" ht="12" thickTop="1">
      <c r="A106" s="1504" t="s">
        <v>85</v>
      </c>
      <c r="B106" s="1504"/>
    </row>
    <row r="107" spans="1:7" ht="12" thickBot="1">
      <c r="A107" s="823"/>
      <c r="G107" s="760" t="s">
        <v>94</v>
      </c>
    </row>
    <row r="108" spans="1:14" s="763" customFormat="1" ht="9.75" customHeight="1">
      <c r="A108" s="1523" t="s">
        <v>86</v>
      </c>
      <c r="B108" s="1513" t="s">
        <v>815</v>
      </c>
      <c r="C108" s="1513" t="s">
        <v>816</v>
      </c>
      <c r="D108" s="1513" t="s">
        <v>834</v>
      </c>
      <c r="E108" s="1513" t="s">
        <v>818</v>
      </c>
      <c r="F108" s="1513" t="s">
        <v>819</v>
      </c>
      <c r="G108" s="1516" t="s">
        <v>835</v>
      </c>
      <c r="H108" s="761"/>
      <c r="I108" s="762"/>
      <c r="J108" s="762"/>
      <c r="K108" s="762"/>
      <c r="L108" s="762"/>
      <c r="M108" s="762"/>
      <c r="N108" s="762"/>
    </row>
    <row r="109" spans="1:14" s="763" customFormat="1" ht="9.75" customHeight="1">
      <c r="A109" s="1524"/>
      <c r="B109" s="1514"/>
      <c r="C109" s="1514"/>
      <c r="D109" s="1514"/>
      <c r="E109" s="1514"/>
      <c r="F109" s="1514"/>
      <c r="G109" s="1517"/>
      <c r="H109" s="764"/>
      <c r="I109" s="762"/>
      <c r="J109" s="762"/>
      <c r="K109" s="762"/>
      <c r="L109" s="762"/>
      <c r="M109" s="762"/>
      <c r="N109" s="762"/>
    </row>
    <row r="110" spans="1:14" s="763" customFormat="1" ht="9.75" customHeight="1">
      <c r="A110" s="1524"/>
      <c r="B110" s="1514"/>
      <c r="C110" s="1514"/>
      <c r="D110" s="1514"/>
      <c r="E110" s="1514"/>
      <c r="F110" s="1514"/>
      <c r="G110" s="1517"/>
      <c r="H110" s="764"/>
      <c r="I110" s="762"/>
      <c r="J110" s="762"/>
      <c r="K110" s="762"/>
      <c r="L110" s="762"/>
      <c r="M110" s="762"/>
      <c r="N110" s="762"/>
    </row>
    <row r="111" spans="1:14" s="763" customFormat="1" ht="10.5" customHeight="1" thickBot="1">
      <c r="A111" s="1525"/>
      <c r="B111" s="1515"/>
      <c r="C111" s="1515"/>
      <c r="D111" s="1515"/>
      <c r="E111" s="1515"/>
      <c r="F111" s="1515"/>
      <c r="G111" s="1518"/>
      <c r="H111" s="761"/>
      <c r="I111" s="762"/>
      <c r="J111" s="762"/>
      <c r="K111" s="762"/>
      <c r="L111" s="762"/>
      <c r="M111" s="762"/>
      <c r="N111" s="762"/>
    </row>
    <row r="112" spans="1:13" s="763" customFormat="1" ht="7.5" customHeight="1">
      <c r="A112" s="805"/>
      <c r="B112" s="807"/>
      <c r="C112" s="807"/>
      <c r="D112" s="807"/>
      <c r="E112" s="807"/>
      <c r="F112" s="807"/>
      <c r="G112" s="808"/>
      <c r="M112" s="761"/>
    </row>
    <row r="113" spans="1:13" s="763" customFormat="1" ht="10.5" customHeight="1">
      <c r="A113" s="777"/>
      <c r="B113" s="793"/>
      <c r="C113" s="793"/>
      <c r="D113" s="793"/>
      <c r="E113" s="793"/>
      <c r="F113" s="793"/>
      <c r="G113" s="824"/>
      <c r="M113" s="761"/>
    </row>
    <row r="114" spans="1:14" s="763" customFormat="1" ht="33.75">
      <c r="A114" s="796" t="s">
        <v>87</v>
      </c>
      <c r="B114" s="785">
        <v>334781</v>
      </c>
      <c r="C114" s="785">
        <v>0</v>
      </c>
      <c r="D114" s="785">
        <f>SUM(B114:C114)</f>
        <v>334781</v>
      </c>
      <c r="E114" s="785">
        <v>381052</v>
      </c>
      <c r="F114" s="785">
        <v>0</v>
      </c>
      <c r="G114" s="783">
        <f>SUM(E114:F114)</f>
        <v>381052</v>
      </c>
      <c r="H114" s="762"/>
      <c r="I114" s="780"/>
      <c r="J114" s="780"/>
      <c r="K114" s="780"/>
      <c r="L114" s="780"/>
      <c r="M114" s="780"/>
      <c r="N114" s="780"/>
    </row>
    <row r="115" spans="1:14" s="763" customFormat="1" ht="66">
      <c r="A115" s="796" t="s">
        <v>92</v>
      </c>
      <c r="B115" s="785">
        <v>0</v>
      </c>
      <c r="C115" s="785">
        <v>0</v>
      </c>
      <c r="D115" s="785">
        <f>SUM(B115:C115)</f>
        <v>0</v>
      </c>
      <c r="E115" s="785">
        <v>0</v>
      </c>
      <c r="F115" s="785">
        <v>0</v>
      </c>
      <c r="G115" s="783">
        <f>SUM(E115:F115)</f>
        <v>0</v>
      </c>
      <c r="H115" s="762"/>
      <c r="I115" s="780"/>
      <c r="J115" s="780"/>
      <c r="K115" s="780"/>
      <c r="L115" s="780"/>
      <c r="M115" s="780"/>
      <c r="N115" s="780"/>
    </row>
    <row r="116" spans="1:14" s="763" customFormat="1" ht="45">
      <c r="A116" s="796" t="s">
        <v>88</v>
      </c>
      <c r="B116" s="785">
        <v>53691</v>
      </c>
      <c r="C116" s="785">
        <v>0</v>
      </c>
      <c r="D116" s="785">
        <f>SUM(B116:C116)</f>
        <v>53691</v>
      </c>
      <c r="E116" s="785">
        <v>0</v>
      </c>
      <c r="F116" s="785">
        <v>0</v>
      </c>
      <c r="G116" s="783">
        <f>SUM(E116:F116)</f>
        <v>0</v>
      </c>
      <c r="H116" s="762"/>
      <c r="I116" s="780"/>
      <c r="J116" s="780"/>
      <c r="K116" s="780"/>
      <c r="L116" s="780"/>
      <c r="M116" s="780"/>
      <c r="N116" s="780"/>
    </row>
    <row r="117" spans="1:14" s="763" customFormat="1" ht="12" thickBot="1">
      <c r="A117" s="825"/>
      <c r="B117" s="826"/>
      <c r="C117" s="826"/>
      <c r="D117" s="826"/>
      <c r="E117" s="826"/>
      <c r="F117" s="826"/>
      <c r="G117" s="827"/>
      <c r="H117" s="762"/>
      <c r="I117" s="780"/>
      <c r="J117" s="780"/>
      <c r="K117" s="780"/>
      <c r="L117" s="780"/>
      <c r="M117" s="780"/>
      <c r="N117" s="780"/>
    </row>
    <row r="118" spans="1:14" s="763" customFormat="1" ht="11.25">
      <c r="A118" s="828"/>
      <c r="B118" s="780"/>
      <c r="C118" s="780"/>
      <c r="D118" s="780"/>
      <c r="E118" s="780"/>
      <c r="F118" s="780"/>
      <c r="G118" s="829"/>
      <c r="H118" s="762"/>
      <c r="I118" s="780"/>
      <c r="J118" s="780"/>
      <c r="K118" s="780"/>
      <c r="L118" s="780"/>
      <c r="M118" s="780"/>
      <c r="N118" s="780"/>
    </row>
    <row r="119" spans="1:7" ht="11.25">
      <c r="A119" s="1505" t="s">
        <v>848</v>
      </c>
      <c r="B119" s="1505"/>
      <c r="C119" s="1505"/>
      <c r="D119" s="1505"/>
      <c r="E119" s="1505"/>
      <c r="F119" s="1505"/>
      <c r="G119" s="1505"/>
    </row>
    <row r="120" spans="1:7" ht="11.25">
      <c r="A120" s="1506" t="s">
        <v>849</v>
      </c>
      <c r="B120" s="1506"/>
      <c r="C120" s="1506"/>
      <c r="D120" s="1506"/>
      <c r="E120" s="1506"/>
      <c r="F120" s="1506"/>
      <c r="G120" s="1506"/>
    </row>
    <row r="121" ht="11.25">
      <c r="A121" s="823"/>
    </row>
    <row r="122" ht="11.25">
      <c r="A122" s="823"/>
    </row>
    <row r="123" ht="11.25">
      <c r="A123" s="823"/>
    </row>
    <row r="124" ht="11.25">
      <c r="A124" s="823"/>
    </row>
  </sheetData>
  <sheetProtection/>
  <mergeCells count="25">
    <mergeCell ref="E108:E111"/>
    <mergeCell ref="F108:F111"/>
    <mergeCell ref="G108:G111"/>
    <mergeCell ref="A108:A111"/>
    <mergeCell ref="B108:B111"/>
    <mergeCell ref="C108:C111"/>
    <mergeCell ref="D108:D111"/>
    <mergeCell ref="G76:G79"/>
    <mergeCell ref="B2:G2"/>
    <mergeCell ref="A4:A7"/>
    <mergeCell ref="B4:B7"/>
    <mergeCell ref="C4:C7"/>
    <mergeCell ref="D4:D7"/>
    <mergeCell ref="E4:E7"/>
    <mergeCell ref="A76:A79"/>
    <mergeCell ref="A106:B106"/>
    <mergeCell ref="A119:G119"/>
    <mergeCell ref="A120:G120"/>
    <mergeCell ref="F4:F7"/>
    <mergeCell ref="G4:G7"/>
    <mergeCell ref="B76:B79"/>
    <mergeCell ref="C76:C79"/>
    <mergeCell ref="D76:D79"/>
    <mergeCell ref="E76:E79"/>
    <mergeCell ref="F76:F7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98" r:id="rId2"/>
  <rowBreaks count="1" manualBreakCount="1">
    <brk id="7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160" zoomScaleSheetLayoutView="160" zoomScalePageLayoutView="0" workbookViewId="0" topLeftCell="A43">
      <selection activeCell="L18" sqref="L18"/>
    </sheetView>
  </sheetViews>
  <sheetFormatPr defaultColWidth="9.00390625" defaultRowHeight="12.75"/>
  <cols>
    <col min="1" max="1" width="3.75390625" style="948" customWidth="1"/>
    <col min="2" max="2" width="33.25390625" style="948" customWidth="1"/>
    <col min="3" max="3" width="13.75390625" style="948" customWidth="1"/>
    <col min="4" max="4" width="13.00390625" style="948" customWidth="1"/>
    <col min="5" max="5" width="12.875" style="948" customWidth="1"/>
  </cols>
  <sheetData>
    <row r="1" spans="1:5" ht="12.75">
      <c r="A1" s="981"/>
      <c r="B1" s="981"/>
      <c r="C1" s="982"/>
      <c r="D1" s="982"/>
      <c r="E1" s="983"/>
    </row>
    <row r="2" spans="1:5" ht="12.75">
      <c r="A2" s="981"/>
      <c r="B2" s="981"/>
      <c r="C2" s="982"/>
      <c r="D2" s="982"/>
      <c r="E2" s="984"/>
    </row>
    <row r="3" spans="1:5" ht="13.5" customHeight="1" thickBot="1">
      <c r="A3" s="981"/>
      <c r="B3" s="981"/>
      <c r="C3" s="982"/>
      <c r="D3" s="982"/>
      <c r="E3" s="984" t="s">
        <v>315</v>
      </c>
    </row>
    <row r="4" spans="1:5" ht="10.5" customHeight="1">
      <c r="A4" s="1258" t="s">
        <v>134</v>
      </c>
      <c r="B4" s="1262"/>
      <c r="C4" s="1023" t="s">
        <v>135</v>
      </c>
      <c r="D4" s="1023" t="s">
        <v>136</v>
      </c>
      <c r="E4" s="1261" t="s">
        <v>137</v>
      </c>
    </row>
    <row r="5" spans="1:5" ht="10.5" customHeight="1" thickBot="1">
      <c r="A5" s="1263"/>
      <c r="B5" s="1264"/>
      <c r="C5" s="1046" t="s">
        <v>138</v>
      </c>
      <c r="D5" s="1046" t="s">
        <v>138</v>
      </c>
      <c r="E5" s="1265"/>
    </row>
    <row r="6" spans="1:5" ht="13.5" thickBot="1">
      <c r="A6" s="1252" t="s">
        <v>139</v>
      </c>
      <c r="B6" s="1253"/>
      <c r="C6" s="1253"/>
      <c r="D6" s="1253"/>
      <c r="E6" s="1254"/>
    </row>
    <row r="7" spans="1:5" ht="12" customHeight="1">
      <c r="A7" s="941" t="s">
        <v>140</v>
      </c>
      <c r="B7" s="994" t="s">
        <v>162</v>
      </c>
      <c r="C7" s="995"/>
      <c r="D7" s="995"/>
      <c r="E7" s="996"/>
    </row>
    <row r="8" spans="1:5" ht="12.75">
      <c r="A8" s="997">
        <v>1</v>
      </c>
      <c r="B8" s="998" t="s">
        <v>147</v>
      </c>
      <c r="C8" s="999"/>
      <c r="D8" s="999"/>
      <c r="E8" s="1000"/>
    </row>
    <row r="9" spans="1:5" ht="11.25" customHeight="1">
      <c r="A9" s="997"/>
      <c r="B9" s="1001" t="s">
        <v>434</v>
      </c>
      <c r="C9" s="999">
        <v>571</v>
      </c>
      <c r="D9" s="999">
        <v>0</v>
      </c>
      <c r="E9" s="1000">
        <f>SUM(C9:D9)</f>
        <v>571</v>
      </c>
    </row>
    <row r="10" spans="1:5" ht="10.5" customHeight="1">
      <c r="A10" s="997"/>
      <c r="B10" s="1001" t="s">
        <v>435</v>
      </c>
      <c r="C10" s="999">
        <v>831</v>
      </c>
      <c r="D10" s="999">
        <v>0</v>
      </c>
      <c r="E10" s="1000">
        <f>SUM(C10:D10)</f>
        <v>831</v>
      </c>
    </row>
    <row r="11" spans="1:5" ht="10.5" customHeight="1">
      <c r="A11" s="997"/>
      <c r="B11" s="1001" t="s">
        <v>436</v>
      </c>
      <c r="C11" s="999">
        <v>831</v>
      </c>
      <c r="D11" s="999">
        <v>0</v>
      </c>
      <c r="E11" s="1000">
        <f>SUM(C11:D11)</f>
        <v>831</v>
      </c>
    </row>
    <row r="12" spans="1:5" ht="12.75">
      <c r="A12" s="997">
        <v>2</v>
      </c>
      <c r="B12" s="998" t="s">
        <v>460</v>
      </c>
      <c r="C12" s="999"/>
      <c r="D12" s="999"/>
      <c r="E12" s="1000"/>
    </row>
    <row r="13" spans="1:5" ht="12.75">
      <c r="A13" s="997"/>
      <c r="B13" s="1001" t="s">
        <v>434</v>
      </c>
      <c r="C13" s="999">
        <v>0</v>
      </c>
      <c r="D13" s="999">
        <v>0</v>
      </c>
      <c r="E13" s="1000">
        <f>SUM(C13:D13)</f>
        <v>0</v>
      </c>
    </row>
    <row r="14" spans="1:5" ht="12.75">
      <c r="A14" s="997"/>
      <c r="B14" s="1001" t="s">
        <v>435</v>
      </c>
      <c r="C14" s="999">
        <v>25</v>
      </c>
      <c r="D14" s="999">
        <v>0</v>
      </c>
      <c r="E14" s="1000">
        <f>SUM(C14:D14)</f>
        <v>25</v>
      </c>
    </row>
    <row r="15" spans="1:5" ht="12.75">
      <c r="A15" s="997"/>
      <c r="B15" s="1001" t="s">
        <v>436</v>
      </c>
      <c r="C15" s="999">
        <v>25</v>
      </c>
      <c r="D15" s="999">
        <v>0</v>
      </c>
      <c r="E15" s="1000">
        <f>SUM(C15:D15)</f>
        <v>25</v>
      </c>
    </row>
    <row r="16" spans="1:5" ht="10.5" customHeight="1">
      <c r="A16" s="997">
        <v>3</v>
      </c>
      <c r="B16" s="998" t="s">
        <v>614</v>
      </c>
      <c r="C16" s="999"/>
      <c r="D16" s="999"/>
      <c r="E16" s="1000"/>
    </row>
    <row r="17" spans="1:5" ht="12.75">
      <c r="A17" s="997"/>
      <c r="B17" s="1001" t="s">
        <v>434</v>
      </c>
      <c r="C17" s="999">
        <v>0</v>
      </c>
      <c r="D17" s="999">
        <v>0</v>
      </c>
      <c r="E17" s="1000">
        <f>SUM(C17:D17)</f>
        <v>0</v>
      </c>
    </row>
    <row r="18" spans="1:5" ht="12.75">
      <c r="A18" s="997"/>
      <c r="B18" s="1001" t="s">
        <v>435</v>
      </c>
      <c r="C18" s="999">
        <v>7</v>
      </c>
      <c r="D18" s="999">
        <v>0</v>
      </c>
      <c r="E18" s="1000">
        <f>SUM(C18:D18)</f>
        <v>7</v>
      </c>
    </row>
    <row r="19" spans="1:5" ht="12.75">
      <c r="A19" s="1038"/>
      <c r="B19" s="1001" t="s">
        <v>436</v>
      </c>
      <c r="C19" s="999">
        <v>0</v>
      </c>
      <c r="D19" s="999">
        <v>0</v>
      </c>
      <c r="E19" s="1000">
        <f>SUM(C19:D19)</f>
        <v>0</v>
      </c>
    </row>
    <row r="20" spans="1:5" ht="12.75">
      <c r="A20" s="1002">
        <v>4</v>
      </c>
      <c r="B20" s="1047" t="s">
        <v>684</v>
      </c>
      <c r="C20" s="1004"/>
      <c r="D20" s="1004"/>
      <c r="E20" s="1008"/>
    </row>
    <row r="21" spans="1:5" ht="12.75">
      <c r="A21" s="1048"/>
      <c r="B21" s="1001" t="s">
        <v>434</v>
      </c>
      <c r="C21" s="999">
        <v>0</v>
      </c>
      <c r="D21" s="999">
        <v>0</v>
      </c>
      <c r="E21" s="1000">
        <f>C21+D21</f>
        <v>0</v>
      </c>
    </row>
    <row r="22" spans="1:5" ht="12.75">
      <c r="A22" s="1048"/>
      <c r="B22" s="1001" t="s">
        <v>435</v>
      </c>
      <c r="C22" s="999">
        <v>170</v>
      </c>
      <c r="D22" s="999">
        <v>0</v>
      </c>
      <c r="E22" s="1000">
        <f>C22+D22</f>
        <v>170</v>
      </c>
    </row>
    <row r="23" spans="1:5" ht="13.5" thickBot="1">
      <c r="A23" s="1049"/>
      <c r="B23" s="1001" t="s">
        <v>436</v>
      </c>
      <c r="C23" s="1004">
        <v>170</v>
      </c>
      <c r="D23" s="1004">
        <v>0</v>
      </c>
      <c r="E23" s="1000">
        <f>C23+D23</f>
        <v>170</v>
      </c>
    </row>
    <row r="24" spans="1:5" ht="14.25" thickBot="1" thickTop="1">
      <c r="A24" s="1009"/>
      <c r="B24" s="1010" t="s">
        <v>479</v>
      </c>
      <c r="C24" s="920"/>
      <c r="D24" s="920"/>
      <c r="E24" s="921"/>
    </row>
    <row r="25" spans="1:5" ht="13.5" thickTop="1">
      <c r="A25" s="1011"/>
      <c r="B25" s="1037" t="s">
        <v>434</v>
      </c>
      <c r="C25" s="1013">
        <f>C9+C13+C17+C21</f>
        <v>571</v>
      </c>
      <c r="D25" s="1013">
        <f>D9+D13+D17+D21</f>
        <v>0</v>
      </c>
      <c r="E25" s="1014">
        <f>E9+E13+E17+E21</f>
        <v>571</v>
      </c>
    </row>
    <row r="26" spans="1:5" ht="12.75">
      <c r="A26" s="1015"/>
      <c r="B26" s="1012" t="s">
        <v>435</v>
      </c>
      <c r="C26" s="1016">
        <f aca="true" t="shared" si="0" ref="C26:E27">C10+C14+C18+C22</f>
        <v>1033</v>
      </c>
      <c r="D26" s="1016">
        <f t="shared" si="0"/>
        <v>0</v>
      </c>
      <c r="E26" s="1000">
        <f t="shared" si="0"/>
        <v>1033</v>
      </c>
    </row>
    <row r="27" spans="1:5" ht="13.5" thickBot="1">
      <c r="A27" s="1050"/>
      <c r="B27" s="1018" t="s">
        <v>436</v>
      </c>
      <c r="C27" s="1019">
        <f t="shared" si="0"/>
        <v>1026</v>
      </c>
      <c r="D27" s="1019">
        <f t="shared" si="0"/>
        <v>0</v>
      </c>
      <c r="E27" s="1020">
        <f t="shared" si="0"/>
        <v>1026</v>
      </c>
    </row>
    <row r="28" spans="1:5" ht="15.75" customHeight="1" thickBot="1">
      <c r="A28" s="981"/>
      <c r="B28" s="981"/>
      <c r="C28" s="982"/>
      <c r="D28" s="982"/>
      <c r="E28" s="984" t="s">
        <v>94</v>
      </c>
    </row>
    <row r="29" spans="1:5" ht="9.75" customHeight="1">
      <c r="A29" s="1258" t="s">
        <v>134</v>
      </c>
      <c r="B29" s="1259"/>
      <c r="C29" s="1023" t="s">
        <v>135</v>
      </c>
      <c r="D29" s="1023" t="s">
        <v>136</v>
      </c>
      <c r="E29" s="1261" t="s">
        <v>137</v>
      </c>
    </row>
    <row r="30" spans="1:5" ht="10.5" customHeight="1">
      <c r="A30" s="1255"/>
      <c r="B30" s="1260"/>
      <c r="C30" s="989" t="s">
        <v>138</v>
      </c>
      <c r="D30" s="989" t="s">
        <v>138</v>
      </c>
      <c r="E30" s="1257"/>
    </row>
    <row r="31" spans="1:5" ht="0.75" customHeight="1" thickBot="1">
      <c r="A31" s="990"/>
      <c r="B31" s="1024"/>
      <c r="C31" s="992"/>
      <c r="D31" s="992"/>
      <c r="E31" s="993"/>
    </row>
    <row r="32" spans="1:5" ht="13.5" thickBot="1">
      <c r="A32" s="1252" t="s">
        <v>151</v>
      </c>
      <c r="B32" s="1253"/>
      <c r="C32" s="1253"/>
      <c r="D32" s="1253"/>
      <c r="E32" s="1254"/>
    </row>
    <row r="33" spans="1:5" ht="12.75">
      <c r="A33" s="1051" t="s">
        <v>140</v>
      </c>
      <c r="B33" s="1052" t="s">
        <v>152</v>
      </c>
      <c r="C33" s="1053"/>
      <c r="D33" s="1053"/>
      <c r="E33" s="1054"/>
    </row>
    <row r="34" spans="1:5" ht="12.75">
      <c r="A34" s="1055">
        <v>1</v>
      </c>
      <c r="B34" s="998" t="s">
        <v>129</v>
      </c>
      <c r="C34" s="999"/>
      <c r="D34" s="999"/>
      <c r="E34" s="1000"/>
    </row>
    <row r="35" spans="1:5" ht="12.75">
      <c r="A35" s="997"/>
      <c r="B35" s="1007" t="s">
        <v>434</v>
      </c>
      <c r="C35" s="1004">
        <f>5!D612</f>
        <v>76</v>
      </c>
      <c r="D35" s="1004">
        <v>0</v>
      </c>
      <c r="E35" s="1056">
        <f>SUM(C35:D35)</f>
        <v>76</v>
      </c>
    </row>
    <row r="36" spans="1:5" ht="12.75">
      <c r="A36" s="997"/>
      <c r="B36" s="1001" t="s">
        <v>435</v>
      </c>
      <c r="C36" s="999">
        <v>6</v>
      </c>
      <c r="D36" s="999">
        <v>0</v>
      </c>
      <c r="E36" s="1000">
        <f>SUM(C36:D36)</f>
        <v>6</v>
      </c>
    </row>
    <row r="37" spans="1:5" ht="12.75">
      <c r="A37" s="997"/>
      <c r="B37" s="1007" t="s">
        <v>436</v>
      </c>
      <c r="C37" s="999">
        <f>5!D614</f>
        <v>0</v>
      </c>
      <c r="D37" s="999">
        <v>0</v>
      </c>
      <c r="E37" s="1056">
        <f>SUM(C37:D37)</f>
        <v>0</v>
      </c>
    </row>
    <row r="38" spans="1:5" ht="12.75">
      <c r="A38" s="997">
        <v>2</v>
      </c>
      <c r="B38" s="998" t="s">
        <v>130</v>
      </c>
      <c r="C38" s="999"/>
      <c r="D38" s="999"/>
      <c r="E38" s="1000"/>
    </row>
    <row r="39" spans="1:5" ht="12.75">
      <c r="A39" s="997"/>
      <c r="B39" s="1001" t="s">
        <v>434</v>
      </c>
      <c r="C39" s="999">
        <f>5!E612</f>
        <v>24</v>
      </c>
      <c r="D39" s="999">
        <v>0</v>
      </c>
      <c r="E39" s="1000">
        <f>SUM(C39:D39)</f>
        <v>24</v>
      </c>
    </row>
    <row r="40" spans="1:5" ht="12.75">
      <c r="A40" s="997"/>
      <c r="B40" s="1001" t="s">
        <v>435</v>
      </c>
      <c r="C40" s="999">
        <v>24</v>
      </c>
      <c r="D40" s="999">
        <v>0</v>
      </c>
      <c r="E40" s="1000">
        <f>SUM(C40:D40)</f>
        <v>24</v>
      </c>
    </row>
    <row r="41" spans="1:5" ht="12.75">
      <c r="A41" s="997"/>
      <c r="B41" s="1007" t="s">
        <v>436</v>
      </c>
      <c r="C41" s="999">
        <v>18</v>
      </c>
      <c r="D41" s="999">
        <v>0</v>
      </c>
      <c r="E41" s="1000">
        <f>SUM(C41:D41)</f>
        <v>18</v>
      </c>
    </row>
    <row r="42" spans="1:5" ht="10.5" customHeight="1">
      <c r="A42" s="997">
        <v>3</v>
      </c>
      <c r="B42" s="998" t="s">
        <v>131</v>
      </c>
      <c r="C42" s="999"/>
      <c r="D42" s="999"/>
      <c r="E42" s="1000"/>
    </row>
    <row r="43" spans="1:5" ht="12.75">
      <c r="A43" s="997"/>
      <c r="B43" s="1001" t="s">
        <v>434</v>
      </c>
      <c r="C43" s="999">
        <v>471</v>
      </c>
      <c r="D43" s="999">
        <v>0</v>
      </c>
      <c r="E43" s="1000">
        <f>SUM(C43:D43)</f>
        <v>471</v>
      </c>
    </row>
    <row r="44" spans="1:5" ht="12.75">
      <c r="A44" s="997"/>
      <c r="B44" s="1001" t="s">
        <v>435</v>
      </c>
      <c r="C44" s="999">
        <v>1003</v>
      </c>
      <c r="D44" s="999">
        <v>0</v>
      </c>
      <c r="E44" s="1000">
        <f>SUM(C44:D44)</f>
        <v>1003</v>
      </c>
    </row>
    <row r="45" spans="1:5" ht="12.75">
      <c r="A45" s="997"/>
      <c r="B45" s="1007" t="s">
        <v>436</v>
      </c>
      <c r="C45" s="999">
        <f>205+255+418+89</f>
        <v>967</v>
      </c>
      <c r="D45" s="999">
        <v>0</v>
      </c>
      <c r="E45" s="1000">
        <f>SUM(C45:D45)</f>
        <v>967</v>
      </c>
    </row>
    <row r="46" spans="1:5" ht="11.25" customHeight="1">
      <c r="A46" s="997">
        <v>4</v>
      </c>
      <c r="B46" s="998" t="s">
        <v>153</v>
      </c>
      <c r="C46" s="999"/>
      <c r="D46" s="999"/>
      <c r="E46" s="1000"/>
    </row>
    <row r="47" spans="1:5" ht="12.75">
      <c r="A47" s="997"/>
      <c r="B47" s="1001" t="s">
        <v>434</v>
      </c>
      <c r="C47" s="999">
        <f>5!G612</f>
        <v>0</v>
      </c>
      <c r="D47" s="999">
        <v>0</v>
      </c>
      <c r="E47" s="1000">
        <f>SUM(C47:D47)</f>
        <v>0</v>
      </c>
    </row>
    <row r="48" spans="1:5" ht="12.75">
      <c r="A48" s="997"/>
      <c r="B48" s="1001" t="s">
        <v>435</v>
      </c>
      <c r="C48" s="999">
        <f>5!G613</f>
        <v>0</v>
      </c>
      <c r="D48" s="999">
        <v>0</v>
      </c>
      <c r="E48" s="1000">
        <f>SUM(C48:D48)</f>
        <v>0</v>
      </c>
    </row>
    <row r="49" spans="1:5" ht="12.75">
      <c r="A49" s="997"/>
      <c r="B49" s="1007" t="s">
        <v>436</v>
      </c>
      <c r="C49" s="999">
        <f>5!G614</f>
        <v>0</v>
      </c>
      <c r="D49" s="999">
        <v>0</v>
      </c>
      <c r="E49" s="1000">
        <f>SUM(C49:D49)</f>
        <v>0</v>
      </c>
    </row>
    <row r="50" spans="1:5" ht="10.5" customHeight="1">
      <c r="A50" s="997">
        <v>5</v>
      </c>
      <c r="B50" s="998" t="s">
        <v>154</v>
      </c>
      <c r="C50" s="999"/>
      <c r="D50" s="999"/>
      <c r="E50" s="1000"/>
    </row>
    <row r="51" spans="1:5" ht="12.75">
      <c r="A51" s="997"/>
      <c r="B51" s="1001" t="s">
        <v>434</v>
      </c>
      <c r="C51" s="999">
        <v>0</v>
      </c>
      <c r="D51" s="999">
        <v>0</v>
      </c>
      <c r="E51" s="1000">
        <f>SUM(C51:D51)</f>
        <v>0</v>
      </c>
    </row>
    <row r="52" spans="1:5" ht="12.75">
      <c r="A52" s="997"/>
      <c r="B52" s="1001" t="s">
        <v>435</v>
      </c>
      <c r="C52" s="999">
        <v>0</v>
      </c>
      <c r="D52" s="999">
        <v>0</v>
      </c>
      <c r="E52" s="1000">
        <f>SUM(C52:D52)</f>
        <v>0</v>
      </c>
    </row>
    <row r="53" spans="1:5" ht="12.75">
      <c r="A53" s="997"/>
      <c r="B53" s="1007" t="s">
        <v>436</v>
      </c>
      <c r="C53" s="999">
        <v>0</v>
      </c>
      <c r="D53" s="999">
        <v>0</v>
      </c>
      <c r="E53" s="1000">
        <f>SUM(C53:D53)</f>
        <v>0</v>
      </c>
    </row>
    <row r="54" spans="1:5" ht="12.75">
      <c r="A54" s="997">
        <v>6</v>
      </c>
      <c r="B54" s="945" t="s">
        <v>334</v>
      </c>
      <c r="C54" s="999"/>
      <c r="D54" s="999"/>
      <c r="E54" s="1000"/>
    </row>
    <row r="55" spans="1:5" ht="12.75">
      <c r="A55" s="1057"/>
      <c r="B55" s="1001" t="s">
        <v>434</v>
      </c>
      <c r="C55" s="999">
        <v>0</v>
      </c>
      <c r="D55" s="999">
        <v>0</v>
      </c>
      <c r="E55" s="1000">
        <f>SUM(C55:D55)</f>
        <v>0</v>
      </c>
    </row>
    <row r="56" spans="1:5" ht="12.75">
      <c r="A56" s="1038"/>
      <c r="B56" s="1001" t="s">
        <v>435</v>
      </c>
      <c r="C56" s="999">
        <v>0</v>
      </c>
      <c r="D56" s="999">
        <v>0</v>
      </c>
      <c r="E56" s="1000">
        <f>SUM(C56:D56)</f>
        <v>0</v>
      </c>
    </row>
    <row r="57" spans="1:5" ht="13.5" thickBot="1">
      <c r="A57" s="1058"/>
      <c r="B57" s="1007" t="s">
        <v>436</v>
      </c>
      <c r="C57" s="1059">
        <v>0</v>
      </c>
      <c r="D57" s="1059">
        <v>0</v>
      </c>
      <c r="E57" s="1000">
        <f>SUM(C57:D57)</f>
        <v>0</v>
      </c>
    </row>
    <row r="58" spans="1:5" ht="12" customHeight="1" thickBot="1" thickTop="1">
      <c r="A58" s="1009"/>
      <c r="B58" s="1010" t="s">
        <v>476</v>
      </c>
      <c r="C58" s="920"/>
      <c r="D58" s="920"/>
      <c r="E58" s="920"/>
    </row>
    <row r="59" spans="1:5" ht="13.5" thickTop="1">
      <c r="A59" s="1060"/>
      <c r="B59" s="1037" t="s">
        <v>434</v>
      </c>
      <c r="C59" s="937">
        <f aca="true" t="shared" si="1" ref="C59:E61">C35+C39+C43+C47+C51+C55</f>
        <v>571</v>
      </c>
      <c r="D59" s="937">
        <f t="shared" si="1"/>
        <v>0</v>
      </c>
      <c r="E59" s="943">
        <f t="shared" si="1"/>
        <v>571</v>
      </c>
    </row>
    <row r="60" spans="1:5" ht="12.75">
      <c r="A60" s="941"/>
      <c r="B60" s="1012" t="s">
        <v>435</v>
      </c>
      <c r="C60" s="938">
        <f t="shared" si="1"/>
        <v>1033</v>
      </c>
      <c r="D60" s="938">
        <f t="shared" si="1"/>
        <v>0</v>
      </c>
      <c r="E60" s="942">
        <f t="shared" si="1"/>
        <v>1033</v>
      </c>
    </row>
    <row r="61" spans="1:5" ht="11.25" customHeight="1" thickBot="1">
      <c r="A61" s="1061"/>
      <c r="B61" s="1018" t="s">
        <v>436</v>
      </c>
      <c r="C61" s="1062">
        <f t="shared" si="1"/>
        <v>985</v>
      </c>
      <c r="D61" s="1062">
        <f t="shared" si="1"/>
        <v>0</v>
      </c>
      <c r="E61" s="1063">
        <f t="shared" si="1"/>
        <v>985</v>
      </c>
    </row>
  </sheetData>
  <sheetProtection/>
  <mergeCells count="6">
    <mergeCell ref="A32:E32"/>
    <mergeCell ref="A4:B5"/>
    <mergeCell ref="E4:E5"/>
    <mergeCell ref="A6:E6"/>
    <mergeCell ref="A29:B30"/>
    <mergeCell ref="E29:E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130" zoomScaleSheetLayoutView="130" zoomScalePageLayoutView="0" workbookViewId="0" topLeftCell="A37">
      <selection activeCell="L18" sqref="L18"/>
    </sheetView>
  </sheetViews>
  <sheetFormatPr defaultColWidth="9.00390625" defaultRowHeight="12.75"/>
  <cols>
    <col min="1" max="1" width="4.00390625" style="948" customWidth="1"/>
    <col min="2" max="2" width="38.75390625" style="948" customWidth="1"/>
    <col min="3" max="3" width="13.875" style="948" customWidth="1"/>
    <col min="4" max="4" width="14.25390625" style="948" customWidth="1"/>
    <col min="5" max="5" width="12.875" style="948" customWidth="1"/>
  </cols>
  <sheetData>
    <row r="1" spans="1:5" ht="12.75">
      <c r="A1" s="981"/>
      <c r="B1" s="981"/>
      <c r="C1" s="982"/>
      <c r="D1" s="982"/>
      <c r="E1" s="983"/>
    </row>
    <row r="2" spans="1:5" ht="12.75">
      <c r="A2" s="981"/>
      <c r="B2" s="981"/>
      <c r="C2" s="982"/>
      <c r="D2" s="982"/>
      <c r="E2" s="983"/>
    </row>
    <row r="3" spans="1:5" ht="12.75">
      <c r="A3" s="981"/>
      <c r="B3" s="981"/>
      <c r="C3" s="982"/>
      <c r="D3" s="982"/>
      <c r="E3" s="984" t="s">
        <v>315</v>
      </c>
    </row>
    <row r="4" spans="1:5" ht="9.75" customHeight="1" thickBot="1">
      <c r="A4" s="981"/>
      <c r="B4" s="981"/>
      <c r="C4" s="982"/>
      <c r="D4" s="982"/>
      <c r="E4" s="983"/>
    </row>
    <row r="5" spans="1:5" ht="12.75">
      <c r="A5" s="985"/>
      <c r="B5" s="986"/>
      <c r="C5" s="987"/>
      <c r="D5" s="987"/>
      <c r="E5" s="988"/>
    </row>
    <row r="6" spans="1:5" ht="12.75">
      <c r="A6" s="1255" t="s">
        <v>134</v>
      </c>
      <c r="B6" s="1256"/>
      <c r="C6" s="989" t="s">
        <v>135</v>
      </c>
      <c r="D6" s="989" t="s">
        <v>136</v>
      </c>
      <c r="E6" s="1257" t="s">
        <v>137</v>
      </c>
    </row>
    <row r="7" spans="1:5" ht="12.75">
      <c r="A7" s="1255"/>
      <c r="B7" s="1256"/>
      <c r="C7" s="989" t="s">
        <v>138</v>
      </c>
      <c r="D7" s="989" t="s">
        <v>138</v>
      </c>
      <c r="E7" s="1257"/>
    </row>
    <row r="8" spans="1:5" ht="0.75" customHeight="1" thickBot="1">
      <c r="A8" s="990"/>
      <c r="B8" s="991"/>
      <c r="C8" s="992"/>
      <c r="D8" s="992"/>
      <c r="E8" s="993"/>
    </row>
    <row r="9" spans="1:5" ht="13.5" thickBot="1">
      <c r="A9" s="1252" t="s">
        <v>139</v>
      </c>
      <c r="B9" s="1253"/>
      <c r="C9" s="1253"/>
      <c r="D9" s="1253"/>
      <c r="E9" s="1254"/>
    </row>
    <row r="10" spans="1:5" ht="12.75">
      <c r="A10" s="1064" t="s">
        <v>140</v>
      </c>
      <c r="B10" s="994" t="s">
        <v>162</v>
      </c>
      <c r="C10" s="1065"/>
      <c r="D10" s="1065"/>
      <c r="E10" s="1066"/>
    </row>
    <row r="11" spans="1:5" ht="11.25" customHeight="1">
      <c r="A11" s="1067">
        <v>1</v>
      </c>
      <c r="B11" s="998" t="s">
        <v>147</v>
      </c>
      <c r="C11" s="940"/>
      <c r="D11" s="940"/>
      <c r="E11" s="942"/>
    </row>
    <row r="12" spans="1:5" ht="11.25" customHeight="1">
      <c r="A12" s="1067"/>
      <c r="B12" s="1001" t="s">
        <v>434</v>
      </c>
      <c r="C12" s="940">
        <v>571</v>
      </c>
      <c r="D12" s="940">
        <v>0</v>
      </c>
      <c r="E12" s="942">
        <f>SUM(C12:D12)</f>
        <v>571</v>
      </c>
    </row>
    <row r="13" spans="1:5" ht="11.25" customHeight="1">
      <c r="A13" s="1067"/>
      <c r="B13" s="1001" t="s">
        <v>435</v>
      </c>
      <c r="C13" s="940">
        <v>831</v>
      </c>
      <c r="D13" s="940">
        <v>0</v>
      </c>
      <c r="E13" s="942">
        <f>SUM(C13:D13)</f>
        <v>831</v>
      </c>
    </row>
    <row r="14" spans="1:5" ht="11.25" customHeight="1">
      <c r="A14" s="1067"/>
      <c r="B14" s="1001" t="s">
        <v>436</v>
      </c>
      <c r="C14" s="940">
        <v>831</v>
      </c>
      <c r="D14" s="940">
        <v>0</v>
      </c>
      <c r="E14" s="942">
        <f>SUM(C14:D14)</f>
        <v>831</v>
      </c>
    </row>
    <row r="15" spans="1:5" ht="11.25" customHeight="1">
      <c r="A15" s="1067">
        <v>2</v>
      </c>
      <c r="B15" s="998" t="s">
        <v>460</v>
      </c>
      <c r="C15" s="940"/>
      <c r="D15" s="940"/>
      <c r="E15" s="942"/>
    </row>
    <row r="16" spans="1:5" ht="11.25" customHeight="1">
      <c r="A16" s="1067"/>
      <c r="B16" s="1001" t="s">
        <v>434</v>
      </c>
      <c r="C16" s="940">
        <v>0</v>
      </c>
      <c r="D16" s="940">
        <v>0</v>
      </c>
      <c r="E16" s="942">
        <f>SUM(C16:D16)</f>
        <v>0</v>
      </c>
    </row>
    <row r="17" spans="1:5" ht="11.25" customHeight="1">
      <c r="A17" s="1067"/>
      <c r="B17" s="1001" t="s">
        <v>435</v>
      </c>
      <c r="C17" s="940">
        <v>18</v>
      </c>
      <c r="D17" s="940">
        <v>0</v>
      </c>
      <c r="E17" s="942">
        <f>SUM(C17:D17)</f>
        <v>18</v>
      </c>
    </row>
    <row r="18" spans="1:5" ht="11.25" customHeight="1">
      <c r="A18" s="1067"/>
      <c r="B18" s="1001" t="s">
        <v>436</v>
      </c>
      <c r="C18" s="940">
        <v>18</v>
      </c>
      <c r="D18" s="940">
        <v>0</v>
      </c>
      <c r="E18" s="942">
        <f>SUM(C18:D18)</f>
        <v>18</v>
      </c>
    </row>
    <row r="19" spans="1:5" ht="11.25" customHeight="1">
      <c r="A19" s="1067">
        <v>3</v>
      </c>
      <c r="B19" s="998" t="s">
        <v>614</v>
      </c>
      <c r="C19" s="940"/>
      <c r="D19" s="940"/>
      <c r="E19" s="942"/>
    </row>
    <row r="20" spans="1:5" ht="11.25" customHeight="1">
      <c r="A20" s="1067"/>
      <c r="B20" s="1001" t="s">
        <v>434</v>
      </c>
      <c r="C20" s="940">
        <v>0</v>
      </c>
      <c r="D20" s="940">
        <v>0</v>
      </c>
      <c r="E20" s="942">
        <f>SUM(C20:D20)</f>
        <v>0</v>
      </c>
    </row>
    <row r="21" spans="1:5" ht="11.25" customHeight="1">
      <c r="A21" s="1067"/>
      <c r="B21" s="1001" t="s">
        <v>435</v>
      </c>
      <c r="C21" s="940">
        <v>7</v>
      </c>
      <c r="D21" s="940">
        <v>0</v>
      </c>
      <c r="E21" s="942">
        <f>SUM(C21:D21)</f>
        <v>7</v>
      </c>
    </row>
    <row r="22" spans="1:5" ht="11.25" customHeight="1">
      <c r="A22" s="997"/>
      <c r="B22" s="1001" t="s">
        <v>436</v>
      </c>
      <c r="C22" s="999">
        <v>7</v>
      </c>
      <c r="D22" s="999">
        <v>0</v>
      </c>
      <c r="E22" s="942">
        <f>SUM(C22:D22)</f>
        <v>7</v>
      </c>
    </row>
    <row r="23" spans="1:5" ht="11.25" customHeight="1">
      <c r="A23" s="1002">
        <v>4</v>
      </c>
      <c r="B23" s="1047" t="s">
        <v>615</v>
      </c>
      <c r="C23" s="1004"/>
      <c r="D23" s="1004"/>
      <c r="E23" s="919"/>
    </row>
    <row r="24" spans="1:5" ht="11.25" customHeight="1">
      <c r="A24" s="1006"/>
      <c r="B24" s="1001" t="s">
        <v>434</v>
      </c>
      <c r="C24" s="999">
        <v>0</v>
      </c>
      <c r="D24" s="999"/>
      <c r="E24" s="942">
        <f>C24+D24</f>
        <v>0</v>
      </c>
    </row>
    <row r="25" spans="1:5" ht="11.25" customHeight="1">
      <c r="A25" s="1006"/>
      <c r="B25" s="1001" t="s">
        <v>435</v>
      </c>
      <c r="C25" s="999">
        <v>120</v>
      </c>
      <c r="D25" s="999"/>
      <c r="E25" s="942">
        <f>C25+D25</f>
        <v>120</v>
      </c>
    </row>
    <row r="26" spans="1:5" ht="11.25" customHeight="1" thickBot="1">
      <c r="A26" s="1002"/>
      <c r="B26" s="1007" t="s">
        <v>436</v>
      </c>
      <c r="C26" s="1004">
        <v>120</v>
      </c>
      <c r="D26" s="1004"/>
      <c r="E26" s="942">
        <f>C26+D26</f>
        <v>120</v>
      </c>
    </row>
    <row r="27" spans="1:5" ht="14.25" thickBot="1" thickTop="1">
      <c r="A27" s="1031"/>
      <c r="B27" s="1032" t="s">
        <v>480</v>
      </c>
      <c r="C27" s="1033"/>
      <c r="D27" s="1033"/>
      <c r="E27" s="1068"/>
    </row>
    <row r="28" spans="1:5" ht="13.5" thickTop="1">
      <c r="A28" s="1049"/>
      <c r="B28" s="1012" t="s">
        <v>434</v>
      </c>
      <c r="C28" s="1069">
        <f aca="true" t="shared" si="0" ref="C28:E30">C12+C16+C20+C24</f>
        <v>571</v>
      </c>
      <c r="D28" s="1069">
        <f t="shared" si="0"/>
        <v>0</v>
      </c>
      <c r="E28" s="1070">
        <f t="shared" si="0"/>
        <v>571</v>
      </c>
    </row>
    <row r="29" spans="1:5" ht="12.75">
      <c r="A29" s="997"/>
      <c r="B29" s="1012" t="s">
        <v>435</v>
      </c>
      <c r="C29" s="1016">
        <f t="shared" si="0"/>
        <v>976</v>
      </c>
      <c r="D29" s="1016">
        <f t="shared" si="0"/>
        <v>0</v>
      </c>
      <c r="E29" s="1000">
        <f t="shared" si="0"/>
        <v>976</v>
      </c>
    </row>
    <row r="30" spans="1:5" ht="13.5" thickBot="1">
      <c r="A30" s="1039"/>
      <c r="B30" s="1018" t="s">
        <v>436</v>
      </c>
      <c r="C30" s="1019">
        <f t="shared" si="0"/>
        <v>976</v>
      </c>
      <c r="D30" s="1019">
        <f t="shared" si="0"/>
        <v>0</v>
      </c>
      <c r="E30" s="1020">
        <f t="shared" si="0"/>
        <v>976</v>
      </c>
    </row>
    <row r="31" spans="1:5" ht="15" customHeight="1" thickBot="1">
      <c r="A31" s="981"/>
      <c r="B31" s="981"/>
      <c r="C31" s="982"/>
      <c r="D31" s="982"/>
      <c r="E31" s="1021" t="s">
        <v>94</v>
      </c>
    </row>
    <row r="32" spans="1:5" ht="12.75" hidden="1">
      <c r="A32" s="985"/>
      <c r="B32" s="1022"/>
      <c r="C32" s="987"/>
      <c r="D32" s="987"/>
      <c r="E32" s="988"/>
    </row>
    <row r="33" spans="1:5" ht="12.75">
      <c r="A33" s="1258" t="s">
        <v>134</v>
      </c>
      <c r="B33" s="1259"/>
      <c r="C33" s="1023" t="s">
        <v>135</v>
      </c>
      <c r="D33" s="1023" t="s">
        <v>136</v>
      </c>
      <c r="E33" s="1261" t="s">
        <v>137</v>
      </c>
    </row>
    <row r="34" spans="1:5" ht="12.75">
      <c r="A34" s="1255"/>
      <c r="B34" s="1260"/>
      <c r="C34" s="989" t="s">
        <v>138</v>
      </c>
      <c r="D34" s="989" t="s">
        <v>138</v>
      </c>
      <c r="E34" s="1257"/>
    </row>
    <row r="35" spans="1:5" ht="0.75" customHeight="1" thickBot="1">
      <c r="A35" s="990"/>
      <c r="B35" s="1024"/>
      <c r="C35" s="992"/>
      <c r="D35" s="992"/>
      <c r="E35" s="993"/>
    </row>
    <row r="36" spans="1:5" ht="13.5" thickBot="1">
      <c r="A36" s="1252" t="s">
        <v>151</v>
      </c>
      <c r="B36" s="1253"/>
      <c r="C36" s="1253"/>
      <c r="D36" s="1253"/>
      <c r="E36" s="1254"/>
    </row>
    <row r="37" spans="1:5" ht="12.75">
      <c r="A37" s="1051" t="s">
        <v>140</v>
      </c>
      <c r="B37" s="1071" t="s">
        <v>152</v>
      </c>
      <c r="C37" s="1027"/>
      <c r="D37" s="1027"/>
      <c r="E37" s="1028"/>
    </row>
    <row r="38" spans="1:5" ht="11.25" customHeight="1">
      <c r="A38" s="939">
        <v>1</v>
      </c>
      <c r="B38" s="1072" t="s">
        <v>129</v>
      </c>
      <c r="C38" s="1073"/>
      <c r="D38" s="1073"/>
      <c r="E38" s="1074"/>
    </row>
    <row r="39" spans="1:5" ht="11.25" customHeight="1">
      <c r="A39" s="939"/>
      <c r="B39" s="1075" t="s">
        <v>434</v>
      </c>
      <c r="C39" s="940">
        <f>5!D616</f>
        <v>120</v>
      </c>
      <c r="D39" s="1076">
        <v>0</v>
      </c>
      <c r="E39" s="942">
        <f>SUM(C39:D39)</f>
        <v>120</v>
      </c>
    </row>
    <row r="40" spans="1:5" ht="11.25" customHeight="1">
      <c r="A40" s="939"/>
      <c r="B40" s="1077" t="s">
        <v>435</v>
      </c>
      <c r="C40" s="940">
        <v>274</v>
      </c>
      <c r="D40" s="1076">
        <v>0</v>
      </c>
      <c r="E40" s="942">
        <f>SUM(C40:D40)</f>
        <v>274</v>
      </c>
    </row>
    <row r="41" spans="1:5" ht="11.25" customHeight="1">
      <c r="A41" s="939"/>
      <c r="B41" s="1075" t="s">
        <v>436</v>
      </c>
      <c r="C41" s="940">
        <v>274</v>
      </c>
      <c r="D41" s="1076">
        <v>0</v>
      </c>
      <c r="E41" s="942">
        <f>SUM(C41:D41)</f>
        <v>274</v>
      </c>
    </row>
    <row r="42" spans="1:5" ht="11.25" customHeight="1">
      <c r="A42" s="939">
        <v>2</v>
      </c>
      <c r="B42" s="1072" t="s">
        <v>130</v>
      </c>
      <c r="C42" s="1076"/>
      <c r="D42" s="1076"/>
      <c r="E42" s="1078"/>
    </row>
    <row r="43" spans="1:5" ht="11.25" customHeight="1">
      <c r="A43" s="939"/>
      <c r="B43" s="1077" t="s">
        <v>434</v>
      </c>
      <c r="C43" s="940">
        <v>39</v>
      </c>
      <c r="D43" s="940">
        <v>0</v>
      </c>
      <c r="E43" s="942">
        <f>SUM(C43:D43)</f>
        <v>39</v>
      </c>
    </row>
    <row r="44" spans="1:5" ht="11.25" customHeight="1">
      <c r="A44" s="939"/>
      <c r="B44" s="1077" t="s">
        <v>435</v>
      </c>
      <c r="C44" s="940">
        <v>40</v>
      </c>
      <c r="D44" s="1076">
        <v>0</v>
      </c>
      <c r="E44" s="942">
        <f>SUM(C44:D44)</f>
        <v>40</v>
      </c>
    </row>
    <row r="45" spans="1:5" ht="11.25" customHeight="1">
      <c r="A45" s="939"/>
      <c r="B45" s="1075" t="s">
        <v>436</v>
      </c>
      <c r="C45" s="940">
        <v>39</v>
      </c>
      <c r="D45" s="1076">
        <v>0</v>
      </c>
      <c r="E45" s="942">
        <f>SUM(C45:D45)</f>
        <v>39</v>
      </c>
    </row>
    <row r="46" spans="1:5" ht="11.25" customHeight="1">
      <c r="A46" s="939">
        <v>3</v>
      </c>
      <c r="B46" s="1072" t="s">
        <v>131</v>
      </c>
      <c r="C46" s="1076"/>
      <c r="D46" s="1076"/>
      <c r="E46" s="1078"/>
    </row>
    <row r="47" spans="1:5" ht="11.25" customHeight="1">
      <c r="A47" s="939"/>
      <c r="B47" s="1077" t="s">
        <v>434</v>
      </c>
      <c r="C47" s="940">
        <v>412</v>
      </c>
      <c r="D47" s="1076">
        <v>0</v>
      </c>
      <c r="E47" s="942">
        <f>SUM(C47:D47)</f>
        <v>412</v>
      </c>
    </row>
    <row r="48" spans="1:5" ht="11.25" customHeight="1">
      <c r="A48" s="939"/>
      <c r="B48" s="1077" t="s">
        <v>435</v>
      </c>
      <c r="C48" s="940">
        <v>662</v>
      </c>
      <c r="D48" s="1076">
        <v>0</v>
      </c>
      <c r="E48" s="942">
        <f>SUM(C48:D48)</f>
        <v>662</v>
      </c>
    </row>
    <row r="49" spans="1:5" ht="11.25" customHeight="1">
      <c r="A49" s="939"/>
      <c r="B49" s="1075" t="s">
        <v>436</v>
      </c>
      <c r="C49" s="940">
        <f>23+361+178+45+1</f>
        <v>608</v>
      </c>
      <c r="D49" s="1076">
        <v>0</v>
      </c>
      <c r="E49" s="942">
        <f>SUM(C49:D49)</f>
        <v>608</v>
      </c>
    </row>
    <row r="50" spans="1:5" ht="11.25" customHeight="1">
      <c r="A50" s="939">
        <v>4</v>
      </c>
      <c r="B50" s="1072" t="s">
        <v>153</v>
      </c>
      <c r="C50" s="1076"/>
      <c r="D50" s="1076"/>
      <c r="E50" s="1078"/>
    </row>
    <row r="51" spans="1:5" ht="11.25" customHeight="1">
      <c r="A51" s="939"/>
      <c r="B51" s="1077" t="s">
        <v>434</v>
      </c>
      <c r="C51" s="940">
        <f>5!G616</f>
        <v>0</v>
      </c>
      <c r="D51" s="1076">
        <v>0</v>
      </c>
      <c r="E51" s="942">
        <f>SUM(C51:D51)</f>
        <v>0</v>
      </c>
    </row>
    <row r="52" spans="1:5" ht="11.25" customHeight="1">
      <c r="A52" s="997"/>
      <c r="B52" s="1077" t="s">
        <v>435</v>
      </c>
      <c r="C52" s="999">
        <v>0</v>
      </c>
      <c r="D52" s="999">
        <v>0</v>
      </c>
      <c r="E52" s="942">
        <f>SUM(C52:D52)</f>
        <v>0</v>
      </c>
    </row>
    <row r="53" spans="1:5" ht="11.25" customHeight="1">
      <c r="A53" s="997"/>
      <c r="B53" s="1075" t="s">
        <v>436</v>
      </c>
      <c r="C53" s="999">
        <f>5!G618</f>
        <v>0</v>
      </c>
      <c r="D53" s="999">
        <v>0</v>
      </c>
      <c r="E53" s="942">
        <f>SUM(C53:D53)</f>
        <v>0</v>
      </c>
    </row>
    <row r="54" spans="1:5" ht="11.25" customHeight="1">
      <c r="A54" s="997">
        <v>5</v>
      </c>
      <c r="B54" s="1072" t="s">
        <v>154</v>
      </c>
      <c r="C54" s="999"/>
      <c r="D54" s="999"/>
      <c r="E54" s="1000"/>
    </row>
    <row r="55" spans="1:5" ht="11.25" customHeight="1">
      <c r="A55" s="997"/>
      <c r="B55" s="1077" t="s">
        <v>434</v>
      </c>
      <c r="C55" s="999">
        <v>0</v>
      </c>
      <c r="D55" s="999">
        <v>0</v>
      </c>
      <c r="E55" s="1000">
        <f>SUM(C55:D55)</f>
        <v>0</v>
      </c>
    </row>
    <row r="56" spans="1:5" ht="11.25" customHeight="1">
      <c r="A56" s="997"/>
      <c r="B56" s="1077" t="s">
        <v>435</v>
      </c>
      <c r="C56" s="999">
        <v>0</v>
      </c>
      <c r="D56" s="999">
        <v>0</v>
      </c>
      <c r="E56" s="1000">
        <f>SUM(C56:D56)</f>
        <v>0</v>
      </c>
    </row>
    <row r="57" spans="1:5" ht="11.25" customHeight="1">
      <c r="A57" s="997"/>
      <c r="B57" s="1075" t="s">
        <v>436</v>
      </c>
      <c r="C57" s="999">
        <v>0</v>
      </c>
      <c r="D57" s="999">
        <v>0</v>
      </c>
      <c r="E57" s="1000">
        <f>SUM(C57:D57)</f>
        <v>0</v>
      </c>
    </row>
    <row r="58" spans="1:5" ht="11.25" customHeight="1">
      <c r="A58" s="997">
        <v>6</v>
      </c>
      <c r="B58" s="1079" t="s">
        <v>334</v>
      </c>
      <c r="C58" s="1016"/>
      <c r="D58" s="1080">
        <f>SUM(D52:D56)</f>
        <v>0</v>
      </c>
      <c r="E58" s="1000"/>
    </row>
    <row r="59" spans="1:5" ht="11.25" customHeight="1">
      <c r="A59" s="997"/>
      <c r="B59" s="1077" t="s">
        <v>434</v>
      </c>
      <c r="C59" s="999">
        <v>0</v>
      </c>
      <c r="D59" s="999">
        <v>0</v>
      </c>
      <c r="E59" s="1000">
        <f>SUM(C59:D59)</f>
        <v>0</v>
      </c>
    </row>
    <row r="60" spans="1:5" ht="11.25" customHeight="1">
      <c r="A60" s="939"/>
      <c r="B60" s="1077" t="s">
        <v>435</v>
      </c>
      <c r="C60" s="940">
        <v>0</v>
      </c>
      <c r="D60" s="940">
        <v>0</v>
      </c>
      <c r="E60" s="1000">
        <f>SUM(C60:D60)</f>
        <v>0</v>
      </c>
    </row>
    <row r="61" spans="1:5" ht="11.25" customHeight="1" thickBot="1">
      <c r="A61" s="1081"/>
      <c r="B61" s="1082" t="s">
        <v>436</v>
      </c>
      <c r="C61" s="1083">
        <v>0</v>
      </c>
      <c r="D61" s="1084">
        <v>0</v>
      </c>
      <c r="E61" s="1005">
        <f>SUM(C61:D61)</f>
        <v>0</v>
      </c>
    </row>
    <row r="62" spans="1:5" ht="14.25" thickBot="1" thickTop="1">
      <c r="A62" s="1085"/>
      <c r="B62" s="1086" t="s">
        <v>476</v>
      </c>
      <c r="C62" s="1087"/>
      <c r="D62" s="1087"/>
      <c r="E62" s="1088"/>
    </row>
    <row r="63" spans="1:5" ht="13.5" thickTop="1">
      <c r="A63" s="1089"/>
      <c r="B63" s="1090" t="s">
        <v>434</v>
      </c>
      <c r="C63" s="1091">
        <f aca="true" t="shared" si="1" ref="C63:E65">C39+C47+C43+C51+C55+C59</f>
        <v>571</v>
      </c>
      <c r="D63" s="1091">
        <f t="shared" si="1"/>
        <v>0</v>
      </c>
      <c r="E63" s="1092">
        <f t="shared" si="1"/>
        <v>571</v>
      </c>
    </row>
    <row r="64" spans="1:5" ht="12.75">
      <c r="A64" s="1093"/>
      <c r="B64" s="1094" t="s">
        <v>435</v>
      </c>
      <c r="C64" s="1016">
        <f t="shared" si="1"/>
        <v>976</v>
      </c>
      <c r="D64" s="1016">
        <f t="shared" si="1"/>
        <v>0</v>
      </c>
      <c r="E64" s="1000">
        <f t="shared" si="1"/>
        <v>976</v>
      </c>
    </row>
    <row r="65" spans="1:5" ht="13.5" thickBot="1">
      <c r="A65" s="1095"/>
      <c r="B65" s="1096" t="s">
        <v>436</v>
      </c>
      <c r="C65" s="1019">
        <f t="shared" si="1"/>
        <v>921</v>
      </c>
      <c r="D65" s="1019">
        <f t="shared" si="1"/>
        <v>0</v>
      </c>
      <c r="E65" s="1020">
        <f t="shared" si="1"/>
        <v>921</v>
      </c>
    </row>
  </sheetData>
  <sheetProtection/>
  <mergeCells count="6">
    <mergeCell ref="A36:E36"/>
    <mergeCell ref="A6:B7"/>
    <mergeCell ref="E6:E7"/>
    <mergeCell ref="A9:E9"/>
    <mergeCell ref="A33:B34"/>
    <mergeCell ref="E33:E3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G353"/>
  <sheetViews>
    <sheetView view="pageBreakPreview" zoomScale="160" zoomScaleSheetLayoutView="160" zoomScalePageLayoutView="0" workbookViewId="0" topLeftCell="A103">
      <selection activeCell="A111" sqref="A111:IV111"/>
    </sheetView>
  </sheetViews>
  <sheetFormatPr defaultColWidth="9.00390625" defaultRowHeight="12.75"/>
  <cols>
    <col min="1" max="1" width="4.125" style="226" customWidth="1"/>
    <col min="2" max="2" width="37.75390625" style="226" customWidth="1"/>
    <col min="3" max="3" width="11.375" style="227" customWidth="1"/>
    <col min="4" max="4" width="11.625" style="227" customWidth="1"/>
    <col min="5" max="5" width="10.75390625" style="228" customWidth="1"/>
    <col min="6" max="16384" width="9.125" style="4" customWidth="1"/>
  </cols>
  <sheetData>
    <row r="5" ht="12" thickBot="1">
      <c r="E5" s="229" t="s">
        <v>94</v>
      </c>
    </row>
    <row r="6" spans="1:5" ht="13.5" customHeight="1">
      <c r="A6" s="230"/>
      <c r="B6" s="231"/>
      <c r="C6" s="232"/>
      <c r="D6" s="232"/>
      <c r="E6" s="233"/>
    </row>
    <row r="7" spans="1:5" s="5" customFormat="1" ht="10.5">
      <c r="A7" s="1269" t="s">
        <v>134</v>
      </c>
      <c r="B7" s="1270"/>
      <c r="C7" s="234" t="s">
        <v>135</v>
      </c>
      <c r="D7" s="234" t="s">
        <v>136</v>
      </c>
      <c r="E7" s="1271" t="s">
        <v>137</v>
      </c>
    </row>
    <row r="8" spans="1:5" s="5" customFormat="1" ht="10.5">
      <c r="A8" s="1269"/>
      <c r="B8" s="1270"/>
      <c r="C8" s="234" t="s">
        <v>138</v>
      </c>
      <c r="D8" s="234" t="s">
        <v>138</v>
      </c>
      <c r="E8" s="1271"/>
    </row>
    <row r="9" spans="1:5" ht="12" customHeight="1" thickBot="1">
      <c r="A9" s="235"/>
      <c r="B9" s="236"/>
      <c r="C9" s="237"/>
      <c r="D9" s="237"/>
      <c r="E9" s="238"/>
    </row>
    <row r="10" spans="1:5" ht="13.5" customHeight="1" thickBot="1">
      <c r="A10" s="1266" t="s">
        <v>139</v>
      </c>
      <c r="B10" s="1267"/>
      <c r="C10" s="1267"/>
      <c r="D10" s="1267"/>
      <c r="E10" s="1268"/>
    </row>
    <row r="11" spans="1:5" s="6" customFormat="1" ht="14.25" customHeight="1">
      <c r="A11" s="268" t="s">
        <v>140</v>
      </c>
      <c r="B11" s="285" t="s">
        <v>141</v>
      </c>
      <c r="C11" s="286"/>
      <c r="D11" s="286"/>
      <c r="E11" s="287"/>
    </row>
    <row r="12" spans="1:5" s="10" customFormat="1" ht="12.75" customHeight="1">
      <c r="A12" s="288"/>
      <c r="B12" s="67" t="s">
        <v>434</v>
      </c>
      <c r="C12" s="263">
        <f>3!D9+3!D13</f>
        <v>70787</v>
      </c>
      <c r="D12" s="263">
        <f>3!E9+3!E13</f>
        <v>20</v>
      </c>
      <c r="E12" s="264">
        <f>3!F9+3!F13</f>
        <v>70807</v>
      </c>
    </row>
    <row r="13" spans="1:5" s="10" customFormat="1" ht="12" customHeight="1">
      <c r="A13" s="288"/>
      <c r="B13" s="67" t="s">
        <v>435</v>
      </c>
      <c r="C13" s="263">
        <f>3!D10+3!D14</f>
        <v>73298</v>
      </c>
      <c r="D13" s="263">
        <f>3!E10+3!E14</f>
        <v>1153</v>
      </c>
      <c r="E13" s="264">
        <f>3!F10+3!F14</f>
        <v>74451</v>
      </c>
    </row>
    <row r="14" spans="1:5" s="10" customFormat="1" ht="13.5" customHeight="1" thickBot="1">
      <c r="A14" s="289"/>
      <c r="B14" s="66" t="s">
        <v>436</v>
      </c>
      <c r="C14" s="290">
        <f>3!D11+3!D15</f>
        <v>77204</v>
      </c>
      <c r="D14" s="290">
        <f>3!E11+3!E15</f>
        <v>1204</v>
      </c>
      <c r="E14" s="291">
        <f>3!F11+3!F15</f>
        <v>78408</v>
      </c>
    </row>
    <row r="15" spans="1:5" s="6" customFormat="1" ht="13.5" customHeight="1">
      <c r="A15" s="281" t="s">
        <v>142</v>
      </c>
      <c r="B15" s="292" t="s">
        <v>143</v>
      </c>
      <c r="C15" s="293"/>
      <c r="D15" s="293"/>
      <c r="E15" s="294"/>
    </row>
    <row r="16" spans="1:5" s="7" customFormat="1" ht="12" customHeight="1">
      <c r="A16" s="241" t="s">
        <v>109</v>
      </c>
      <c r="B16" s="295" t="s">
        <v>144</v>
      </c>
      <c r="C16" s="242"/>
      <c r="D16" s="242"/>
      <c r="E16" s="243"/>
    </row>
    <row r="17" spans="1:5" s="7" customFormat="1" ht="13.5" customHeight="1">
      <c r="A17" s="241"/>
      <c r="B17" s="64" t="s">
        <v>434</v>
      </c>
      <c r="C17" s="242">
        <f>3!D71</f>
        <v>88161</v>
      </c>
      <c r="D17" s="242">
        <f>3!E71</f>
        <v>0</v>
      </c>
      <c r="E17" s="243">
        <f>SUM(C17:D17)</f>
        <v>88161</v>
      </c>
    </row>
    <row r="18" spans="1:5" s="7" customFormat="1" ht="13.5" customHeight="1">
      <c r="A18" s="241"/>
      <c r="B18" s="64" t="s">
        <v>435</v>
      </c>
      <c r="C18" s="242">
        <f>3!D72</f>
        <v>120221</v>
      </c>
      <c r="D18" s="242">
        <f>3!E72</f>
        <v>1952</v>
      </c>
      <c r="E18" s="243">
        <f>SUM(C18:D18)</f>
        <v>122173</v>
      </c>
    </row>
    <row r="19" spans="1:5" s="7" customFormat="1" ht="12" customHeight="1">
      <c r="A19" s="241"/>
      <c r="B19" s="64" t="s">
        <v>436</v>
      </c>
      <c r="C19" s="242">
        <f>3!D73</f>
        <v>149873</v>
      </c>
      <c r="D19" s="242">
        <f>3!E73</f>
        <v>0</v>
      </c>
      <c r="E19" s="243">
        <f>SUM(C19:D19)</f>
        <v>149873</v>
      </c>
    </row>
    <row r="20" spans="1:5" s="7" customFormat="1" ht="13.5" customHeight="1">
      <c r="A20" s="241" t="s">
        <v>111</v>
      </c>
      <c r="B20" s="296" t="s">
        <v>4</v>
      </c>
      <c r="C20" s="242"/>
      <c r="D20" s="242"/>
      <c r="E20" s="243"/>
    </row>
    <row r="21" spans="1:5" s="7" customFormat="1" ht="11.25" customHeight="1">
      <c r="A21" s="241"/>
      <c r="B21" s="64" t="s">
        <v>434</v>
      </c>
      <c r="C21" s="242">
        <f>3!D76+3!D84+3!D88</f>
        <v>527500</v>
      </c>
      <c r="D21" s="242">
        <f>3!E80</f>
        <v>50000</v>
      </c>
      <c r="E21" s="243">
        <f>D21+C21</f>
        <v>577500</v>
      </c>
    </row>
    <row r="22" spans="1:5" s="7" customFormat="1" ht="12.75" customHeight="1">
      <c r="A22" s="241"/>
      <c r="B22" s="64" t="s">
        <v>435</v>
      </c>
      <c r="C22" s="242">
        <f>3!D77+3!D85+3!D89</f>
        <v>517500</v>
      </c>
      <c r="D22" s="242">
        <f>3!E81</f>
        <v>50000</v>
      </c>
      <c r="E22" s="243">
        <f>D22+C22</f>
        <v>567500</v>
      </c>
    </row>
    <row r="23" spans="1:5" s="7" customFormat="1" ht="12" customHeight="1">
      <c r="A23" s="241"/>
      <c r="B23" s="64" t="s">
        <v>436</v>
      </c>
      <c r="C23" s="242">
        <f>3!D78+3!D86+3!D90</f>
        <v>513453</v>
      </c>
      <c r="D23" s="242">
        <f>3!E82</f>
        <v>52256</v>
      </c>
      <c r="E23" s="243">
        <f>D23+C23</f>
        <v>565709</v>
      </c>
    </row>
    <row r="24" spans="1:5" s="7" customFormat="1" ht="11.25" customHeight="1">
      <c r="A24" s="241" t="s">
        <v>113</v>
      </c>
      <c r="B24" s="296" t="s">
        <v>116</v>
      </c>
      <c r="C24" s="242"/>
      <c r="D24" s="242"/>
      <c r="E24" s="243"/>
    </row>
    <row r="25" spans="1:5" s="7" customFormat="1" ht="11.25" customHeight="1">
      <c r="A25" s="241"/>
      <c r="B25" s="64" t="s">
        <v>434</v>
      </c>
      <c r="C25" s="242">
        <f>3!D92+3!D96</f>
        <v>378771</v>
      </c>
      <c r="D25" s="242">
        <f>3!E92+3!E96</f>
        <v>0</v>
      </c>
      <c r="E25" s="243">
        <f>3!F92+3!F96</f>
        <v>378771</v>
      </c>
    </row>
    <row r="26" spans="1:5" s="7" customFormat="1" ht="12.75" customHeight="1">
      <c r="A26" s="241"/>
      <c r="B26" s="64" t="s">
        <v>435</v>
      </c>
      <c r="C26" s="242">
        <f>3!D93+3!D97</f>
        <v>336396</v>
      </c>
      <c r="D26" s="242">
        <f>3!E93+3!E97</f>
        <v>0</v>
      </c>
      <c r="E26" s="243">
        <f>3!F93+3!F97</f>
        <v>336396</v>
      </c>
    </row>
    <row r="27" spans="1:5" s="7" customFormat="1" ht="13.5" customHeight="1">
      <c r="A27" s="241"/>
      <c r="B27" s="64" t="s">
        <v>436</v>
      </c>
      <c r="C27" s="242">
        <f>3!D94+3!D98</f>
        <v>336396</v>
      </c>
      <c r="D27" s="242">
        <f>3!E94+3!E98</f>
        <v>0</v>
      </c>
      <c r="E27" s="243">
        <f>3!F94+3!F98</f>
        <v>336396</v>
      </c>
    </row>
    <row r="28" spans="1:6" s="7" customFormat="1" ht="12" customHeight="1">
      <c r="A28" s="241" t="s">
        <v>115</v>
      </c>
      <c r="B28" s="296" t="s">
        <v>145</v>
      </c>
      <c r="C28" s="242"/>
      <c r="D28" s="242"/>
      <c r="E28" s="243"/>
      <c r="F28" s="8"/>
    </row>
    <row r="29" spans="1:6" s="7" customFormat="1" ht="12" customHeight="1">
      <c r="A29" s="241"/>
      <c r="B29" s="64" t="s">
        <v>434</v>
      </c>
      <c r="C29" s="242">
        <f>3!D100+3!D104+3!D108+3!D112+3!D116</f>
        <v>1082</v>
      </c>
      <c r="D29" s="242">
        <f>3!E100+3!E104+3!E108+3!E112+3!E116</f>
        <v>0</v>
      </c>
      <c r="E29" s="243">
        <f>3!F100+3!F104+3!F108+3!F112+3!F116</f>
        <v>1082</v>
      </c>
      <c r="F29" s="8"/>
    </row>
    <row r="30" spans="1:6" s="7" customFormat="1" ht="12" customHeight="1">
      <c r="A30" s="241"/>
      <c r="B30" s="64" t="s">
        <v>435</v>
      </c>
      <c r="C30" s="242">
        <f>3!D101+3!D105+3!D109+3!D113+3!D117+3!D121</f>
        <v>4911</v>
      </c>
      <c r="D30" s="242">
        <f>3!E101+3!E105+3!E109+3!E113+3!E117</f>
        <v>0</v>
      </c>
      <c r="E30" s="243">
        <f>3!F101+3!F105+3!F109+3!F113+3!F117+3!F121</f>
        <v>4911</v>
      </c>
      <c r="F30" s="8"/>
    </row>
    <row r="31" spans="1:6" s="7" customFormat="1" ht="12" customHeight="1">
      <c r="A31" s="241"/>
      <c r="B31" s="64" t="s">
        <v>436</v>
      </c>
      <c r="C31" s="242">
        <f>3!D102+3!D106+3!D110+3!D114+3!D118+3!D122</f>
        <v>13528</v>
      </c>
      <c r="D31" s="242">
        <f>3!E102+3!E106+3!E110+3!E114+3!E118</f>
        <v>0</v>
      </c>
      <c r="E31" s="243">
        <f>3!F102+3!F106+3!F110+3!F114+3!F118+3!F122</f>
        <v>13528</v>
      </c>
      <c r="F31" s="8"/>
    </row>
    <row r="32" spans="1:6" s="7" customFormat="1" ht="12" customHeight="1">
      <c r="A32" s="241" t="s">
        <v>117</v>
      </c>
      <c r="B32" s="296" t="s">
        <v>146</v>
      </c>
      <c r="C32" s="242"/>
      <c r="D32" s="242"/>
      <c r="E32" s="243"/>
      <c r="F32" s="8"/>
    </row>
    <row r="33" spans="1:6" s="7" customFormat="1" ht="12" customHeight="1">
      <c r="A33" s="241"/>
      <c r="B33" s="64" t="s">
        <v>434</v>
      </c>
      <c r="C33" s="242">
        <f>3!D162</f>
        <v>0</v>
      </c>
      <c r="D33" s="242">
        <f>3!E162</f>
        <v>27674</v>
      </c>
      <c r="E33" s="243">
        <f>3!F162</f>
        <v>27674</v>
      </c>
      <c r="F33" s="8"/>
    </row>
    <row r="34" spans="1:6" s="7" customFormat="1" ht="12" customHeight="1">
      <c r="A34" s="241"/>
      <c r="B34" s="64" t="s">
        <v>435</v>
      </c>
      <c r="C34" s="242">
        <f>3!D163</f>
        <v>0</v>
      </c>
      <c r="D34" s="242">
        <f>3!E163</f>
        <v>44250</v>
      </c>
      <c r="E34" s="243">
        <f>3!F163</f>
        <v>44250</v>
      </c>
      <c r="F34" s="8"/>
    </row>
    <row r="35" spans="1:6" s="7" customFormat="1" ht="12" customHeight="1">
      <c r="A35" s="280"/>
      <c r="B35" s="64" t="s">
        <v>436</v>
      </c>
      <c r="C35" s="242">
        <f>3!D164</f>
        <v>0</v>
      </c>
      <c r="D35" s="242">
        <f>3!E164</f>
        <v>38333</v>
      </c>
      <c r="E35" s="243">
        <f>3!F164</f>
        <v>38333</v>
      </c>
      <c r="F35" s="8"/>
    </row>
    <row r="36" spans="1:5" s="7" customFormat="1" ht="12" customHeight="1">
      <c r="A36" s="241" t="s">
        <v>119</v>
      </c>
      <c r="B36" s="297" t="s">
        <v>147</v>
      </c>
      <c r="C36" s="242"/>
      <c r="D36" s="242"/>
      <c r="E36" s="243"/>
    </row>
    <row r="37" spans="1:5" s="7" customFormat="1" ht="12" customHeight="1">
      <c r="A37" s="241"/>
      <c r="B37" s="298" t="s">
        <v>434</v>
      </c>
      <c r="C37" s="242">
        <f>3!D384+3!D433</f>
        <v>423138</v>
      </c>
      <c r="D37" s="242">
        <f>3!E384+3!E433</f>
        <v>0</v>
      </c>
      <c r="E37" s="243">
        <f>3!F384+3!F433</f>
        <v>423138</v>
      </c>
    </row>
    <row r="38" spans="1:5" s="7" customFormat="1" ht="12" customHeight="1">
      <c r="A38" s="241"/>
      <c r="B38" s="298" t="s">
        <v>435</v>
      </c>
      <c r="C38" s="242">
        <f>3!D385+3!D434</f>
        <v>565366</v>
      </c>
      <c r="D38" s="242">
        <f>3!E385+3!E434</f>
        <v>7485</v>
      </c>
      <c r="E38" s="243">
        <f>3!F385+3!F434</f>
        <v>572851</v>
      </c>
    </row>
    <row r="39" spans="1:6" s="7" customFormat="1" ht="12" customHeight="1">
      <c r="A39" s="241"/>
      <c r="B39" s="298" t="s">
        <v>436</v>
      </c>
      <c r="C39" s="242">
        <f>3!D386+3!D435</f>
        <v>565366</v>
      </c>
      <c r="D39" s="242">
        <f>3!E386+3!E435</f>
        <v>7485</v>
      </c>
      <c r="E39" s="243">
        <f>3!F386+3!F435</f>
        <v>572851</v>
      </c>
      <c r="F39" s="8"/>
    </row>
    <row r="40" spans="1:6" s="7" customFormat="1" ht="12" customHeight="1">
      <c r="A40" s="241" t="s">
        <v>121</v>
      </c>
      <c r="B40" s="297" t="s">
        <v>331</v>
      </c>
      <c r="C40" s="242"/>
      <c r="D40" s="242"/>
      <c r="E40" s="243"/>
      <c r="F40" s="8"/>
    </row>
    <row r="41" spans="1:5" s="7" customFormat="1" ht="12" customHeight="1">
      <c r="A41" s="241"/>
      <c r="B41" s="298" t="s">
        <v>434</v>
      </c>
      <c r="C41" s="242">
        <f>3!D300</f>
        <v>225316</v>
      </c>
      <c r="D41" s="242">
        <f>3!E300</f>
        <v>0</v>
      </c>
      <c r="E41" s="243">
        <f>3!F300</f>
        <v>225316</v>
      </c>
    </row>
    <row r="42" spans="1:5" s="7" customFormat="1" ht="12" customHeight="1">
      <c r="A42" s="241"/>
      <c r="B42" s="298" t="s">
        <v>435</v>
      </c>
      <c r="C42" s="242">
        <f>3!D301</f>
        <v>86024</v>
      </c>
      <c r="D42" s="242">
        <f>3!E301</f>
        <v>350</v>
      </c>
      <c r="E42" s="243">
        <f>3!F301</f>
        <v>86374</v>
      </c>
    </row>
    <row r="43" spans="1:5" s="7" customFormat="1" ht="12" customHeight="1">
      <c r="A43" s="241"/>
      <c r="B43" s="298" t="s">
        <v>436</v>
      </c>
      <c r="C43" s="242">
        <f>3!D302</f>
        <v>68952</v>
      </c>
      <c r="D43" s="242">
        <f>3!E302</f>
        <v>15060</v>
      </c>
      <c r="E43" s="243">
        <f>3!F302</f>
        <v>84012</v>
      </c>
    </row>
    <row r="44" spans="1:5" s="7" customFormat="1" ht="12" customHeight="1">
      <c r="A44" s="241" t="s">
        <v>122</v>
      </c>
      <c r="B44" s="299" t="s">
        <v>341</v>
      </c>
      <c r="C44" s="242"/>
      <c r="D44" s="242"/>
      <c r="E44" s="243"/>
    </row>
    <row r="45" spans="1:5" s="7" customFormat="1" ht="12" customHeight="1">
      <c r="A45" s="241"/>
      <c r="B45" s="298" t="s">
        <v>434</v>
      </c>
      <c r="C45" s="242">
        <f>3!D335</f>
        <v>0</v>
      </c>
      <c r="D45" s="242">
        <f>3!E335</f>
        <v>5390</v>
      </c>
      <c r="E45" s="243">
        <f>3!F335</f>
        <v>5390</v>
      </c>
    </row>
    <row r="46" spans="1:5" s="7" customFormat="1" ht="12" customHeight="1">
      <c r="A46" s="241"/>
      <c r="B46" s="298" t="s">
        <v>435</v>
      </c>
      <c r="C46" s="242">
        <f>3!D336</f>
        <v>3919</v>
      </c>
      <c r="D46" s="242">
        <f>3!E336</f>
        <v>14865</v>
      </c>
      <c r="E46" s="243">
        <f>3!F336</f>
        <v>18784</v>
      </c>
    </row>
    <row r="47" spans="1:5" s="7" customFormat="1" ht="12" customHeight="1">
      <c r="A47" s="241"/>
      <c r="B47" s="298" t="s">
        <v>436</v>
      </c>
      <c r="C47" s="242">
        <f>3!D337</f>
        <v>3919</v>
      </c>
      <c r="D47" s="242">
        <f>3!E337</f>
        <v>14023</v>
      </c>
      <c r="E47" s="243">
        <f>3!F337</f>
        <v>17942</v>
      </c>
    </row>
    <row r="48" spans="1:5" s="7" customFormat="1" ht="12" customHeight="1">
      <c r="A48" s="241" t="s">
        <v>124</v>
      </c>
      <c r="B48" s="300" t="s">
        <v>148</v>
      </c>
      <c r="C48" s="242"/>
      <c r="D48" s="242"/>
      <c r="E48" s="243"/>
    </row>
    <row r="49" spans="1:5" s="7" customFormat="1" ht="12" customHeight="1">
      <c r="A49" s="241"/>
      <c r="B49" s="298" t="s">
        <v>434</v>
      </c>
      <c r="C49" s="242">
        <f>3!D471</f>
        <v>0</v>
      </c>
      <c r="D49" s="242">
        <f>3!E471</f>
        <v>0</v>
      </c>
      <c r="E49" s="243">
        <f>3!F471</f>
        <v>0</v>
      </c>
    </row>
    <row r="50" spans="1:5" s="7" customFormat="1" ht="12" customHeight="1">
      <c r="A50" s="241"/>
      <c r="B50" s="298" t="s">
        <v>435</v>
      </c>
      <c r="C50" s="242">
        <f>3!D472</f>
        <v>0</v>
      </c>
      <c r="D50" s="242">
        <f>3!E472</f>
        <v>35297</v>
      </c>
      <c r="E50" s="243">
        <f>3!F472</f>
        <v>35297</v>
      </c>
    </row>
    <row r="51" spans="1:5" s="7" customFormat="1" ht="12" customHeight="1">
      <c r="A51" s="241"/>
      <c r="B51" s="298" t="s">
        <v>436</v>
      </c>
      <c r="C51" s="242">
        <f>3!D473</f>
        <v>0</v>
      </c>
      <c r="D51" s="242">
        <f>3!E473</f>
        <v>13074</v>
      </c>
      <c r="E51" s="243">
        <f>3!F473</f>
        <v>13074</v>
      </c>
    </row>
    <row r="52" spans="1:5" s="7" customFormat="1" ht="12" customHeight="1">
      <c r="A52" s="280">
        <v>10</v>
      </c>
      <c r="B52" s="916" t="s">
        <v>604</v>
      </c>
      <c r="C52" s="259"/>
      <c r="D52" s="259"/>
      <c r="E52" s="319"/>
    </row>
    <row r="53" spans="1:5" s="7" customFormat="1" ht="12" customHeight="1">
      <c r="A53" s="241"/>
      <c r="B53" s="298" t="s">
        <v>434</v>
      </c>
      <c r="C53" s="242">
        <f>3!F484</f>
        <v>0</v>
      </c>
      <c r="D53" s="242"/>
      <c r="E53" s="243">
        <f>SUM(C53:D53)</f>
        <v>0</v>
      </c>
    </row>
    <row r="54" spans="1:5" s="7" customFormat="1" ht="12" customHeight="1">
      <c r="A54" s="241"/>
      <c r="B54" s="298" t="s">
        <v>435</v>
      </c>
      <c r="C54" s="242">
        <f>3!F485</f>
        <v>3632</v>
      </c>
      <c r="D54" s="242"/>
      <c r="E54" s="243">
        <f aca="true" t="shared" si="0" ref="E54:E59">SUM(C54:D54)</f>
        <v>3632</v>
      </c>
    </row>
    <row r="55" spans="1:5" s="7" customFormat="1" ht="12" customHeight="1">
      <c r="A55" s="241"/>
      <c r="B55" s="298" t="s">
        <v>436</v>
      </c>
      <c r="C55" s="242">
        <f>3!F486</f>
        <v>7131</v>
      </c>
      <c r="D55" s="242"/>
      <c r="E55" s="243">
        <f t="shared" si="0"/>
        <v>7131</v>
      </c>
    </row>
    <row r="56" spans="1:5" s="7" customFormat="1" ht="12" customHeight="1">
      <c r="A56" s="241">
        <v>11</v>
      </c>
      <c r="B56" s="917" t="s">
        <v>608</v>
      </c>
      <c r="C56" s="242"/>
      <c r="D56" s="242"/>
      <c r="E56" s="243"/>
    </row>
    <row r="57" spans="1:5" s="7" customFormat="1" ht="12" customHeight="1">
      <c r="A57" s="241"/>
      <c r="B57" s="298" t="s">
        <v>434</v>
      </c>
      <c r="C57" s="242">
        <f>3!F488</f>
        <v>0</v>
      </c>
      <c r="D57" s="242"/>
      <c r="E57" s="243">
        <f t="shared" si="0"/>
        <v>0</v>
      </c>
    </row>
    <row r="58" spans="1:5" s="7" customFormat="1" ht="12" customHeight="1">
      <c r="A58" s="241"/>
      <c r="B58" s="298" t="s">
        <v>435</v>
      </c>
      <c r="C58" s="242">
        <f>3!F489</f>
        <v>3000</v>
      </c>
      <c r="D58" s="242"/>
      <c r="E58" s="243">
        <f t="shared" si="0"/>
        <v>3000</v>
      </c>
    </row>
    <row r="59" spans="1:5" s="7" customFormat="1" ht="12" customHeight="1" thickBot="1">
      <c r="A59" s="1154"/>
      <c r="B59" s="1155" t="s">
        <v>436</v>
      </c>
      <c r="C59" s="1156">
        <f>3!F490</f>
        <v>3000</v>
      </c>
      <c r="D59" s="1156"/>
      <c r="E59" s="326">
        <f t="shared" si="0"/>
        <v>3000</v>
      </c>
    </row>
    <row r="60" spans="1:5" s="9" customFormat="1" ht="12" customHeight="1" thickBot="1" thickTop="1">
      <c r="A60" s="270"/>
      <c r="B60" s="271" t="s">
        <v>609</v>
      </c>
      <c r="C60" s="272"/>
      <c r="D60" s="272"/>
      <c r="E60" s="273"/>
    </row>
    <row r="61" spans="1:5" s="9" customFormat="1" ht="12" customHeight="1" thickTop="1">
      <c r="A61" s="283"/>
      <c r="B61" s="64" t="s">
        <v>434</v>
      </c>
      <c r="C61" s="250">
        <f>C17+C21+C25+C29+C33+C37+C41+C45+C49</f>
        <v>1643968</v>
      </c>
      <c r="D61" s="250">
        <f>D17+D21+D25+D29+D33+D37+D41+D45+D49</f>
        <v>83064</v>
      </c>
      <c r="E61" s="251">
        <f>E17+E21+E25+E29+E33+E37+E41+E45+E49</f>
        <v>1727032</v>
      </c>
    </row>
    <row r="62" spans="1:5" s="9" customFormat="1" ht="12" customHeight="1">
      <c r="A62" s="244"/>
      <c r="B62" s="64" t="s">
        <v>435</v>
      </c>
      <c r="C62" s="252">
        <f aca="true" t="shared" si="1" ref="C62:E63">C18+C22+C26+C30+C34+C38+C42+C46+C50+C54+C58</f>
        <v>1640969</v>
      </c>
      <c r="D62" s="252">
        <f t="shared" si="1"/>
        <v>154199</v>
      </c>
      <c r="E62" s="243">
        <f t="shared" si="1"/>
        <v>1795168</v>
      </c>
    </row>
    <row r="63" spans="1:5" s="9" customFormat="1" ht="12" customHeight="1" thickBot="1">
      <c r="A63" s="260"/>
      <c r="B63" s="64" t="s">
        <v>436</v>
      </c>
      <c r="C63" s="301">
        <f t="shared" si="1"/>
        <v>1661618</v>
      </c>
      <c r="D63" s="301">
        <f t="shared" si="1"/>
        <v>140231</v>
      </c>
      <c r="E63" s="319">
        <f t="shared" si="1"/>
        <v>1801849</v>
      </c>
    </row>
    <row r="64" spans="1:5" s="9" customFormat="1" ht="12" customHeight="1" thickBot="1" thickTop="1">
      <c r="A64" s="270"/>
      <c r="B64" s="271" t="s">
        <v>460</v>
      </c>
      <c r="C64" s="272"/>
      <c r="D64" s="272"/>
      <c r="E64" s="273"/>
    </row>
    <row r="65" spans="1:5" s="9" customFormat="1" ht="12" customHeight="1" thickTop="1">
      <c r="A65" s="302"/>
      <c r="B65" s="303" t="s">
        <v>434</v>
      </c>
      <c r="C65" s="275">
        <f>3!D476+3!D17</f>
        <v>0</v>
      </c>
      <c r="D65" s="275">
        <f>3!E476+3!E17</f>
        <v>0</v>
      </c>
      <c r="E65" s="276">
        <f>3!F476+3!F17</f>
        <v>0</v>
      </c>
    </row>
    <row r="66" spans="1:5" s="9" customFormat="1" ht="12" customHeight="1">
      <c r="A66" s="244"/>
      <c r="B66" s="64" t="s">
        <v>435</v>
      </c>
      <c r="C66" s="252">
        <f>3!D477+3!D18</f>
        <v>0</v>
      </c>
      <c r="D66" s="252">
        <f>3!E477+3!E18</f>
        <v>887133</v>
      </c>
      <c r="E66" s="243">
        <f>3!F477+3!F18</f>
        <v>887133</v>
      </c>
    </row>
    <row r="67" spans="1:5" s="9" customFormat="1" ht="12" customHeight="1" thickBot="1">
      <c r="A67" s="854"/>
      <c r="B67" s="74" t="s">
        <v>436</v>
      </c>
      <c r="C67" s="301">
        <f>3!D478+3!D19</f>
        <v>0</v>
      </c>
      <c r="D67" s="301">
        <f>3!E478+3!E19</f>
        <v>422</v>
      </c>
      <c r="E67" s="319">
        <f>3!F478+3!F19</f>
        <v>422</v>
      </c>
    </row>
    <row r="68" spans="1:7" s="10" customFormat="1" ht="12" customHeight="1" thickBot="1" thickTop="1">
      <c r="A68" s="430"/>
      <c r="B68" s="431" t="s">
        <v>149</v>
      </c>
      <c r="C68" s="429"/>
      <c r="D68" s="429"/>
      <c r="E68" s="422"/>
      <c r="G68" s="11"/>
    </row>
    <row r="69" spans="1:7" s="10" customFormat="1" ht="14.25" customHeight="1">
      <c r="A69" s="255"/>
      <c r="B69" s="68" t="s">
        <v>434</v>
      </c>
      <c r="C69" s="308">
        <f aca="true" t="shared" si="2" ref="C69:E71">C61+C65+C12</f>
        <v>1714755</v>
      </c>
      <c r="D69" s="308">
        <f t="shared" si="2"/>
        <v>83084</v>
      </c>
      <c r="E69" s="213">
        <f t="shared" si="2"/>
        <v>1797839</v>
      </c>
      <c r="G69" s="11"/>
    </row>
    <row r="70" spans="1:7" s="10" customFormat="1" ht="15" customHeight="1">
      <c r="A70" s="239"/>
      <c r="B70" s="67" t="s">
        <v>435</v>
      </c>
      <c r="C70" s="263">
        <f t="shared" si="2"/>
        <v>1714267</v>
      </c>
      <c r="D70" s="263">
        <f t="shared" si="2"/>
        <v>1042485</v>
      </c>
      <c r="E70" s="264">
        <f t="shared" si="2"/>
        <v>2756752</v>
      </c>
      <c r="G70" s="11"/>
    </row>
    <row r="71" spans="1:7" s="10" customFormat="1" ht="12" customHeight="1" thickBot="1">
      <c r="A71" s="307"/>
      <c r="B71" s="67" t="s">
        <v>436</v>
      </c>
      <c r="C71" s="308">
        <f t="shared" si="2"/>
        <v>1738822</v>
      </c>
      <c r="D71" s="308">
        <f t="shared" si="2"/>
        <v>141857</v>
      </c>
      <c r="E71" s="213">
        <f t="shared" si="2"/>
        <v>1880679</v>
      </c>
      <c r="G71" s="11"/>
    </row>
    <row r="72" spans="1:5" ht="12.75" customHeight="1" thickBot="1" thickTop="1">
      <c r="A72" s="309">
        <v>10</v>
      </c>
      <c r="B72" s="310" t="s">
        <v>150</v>
      </c>
      <c r="C72" s="247"/>
      <c r="D72" s="247"/>
      <c r="E72" s="248"/>
    </row>
    <row r="73" spans="1:5" ht="12.75" customHeight="1" thickTop="1">
      <c r="A73" s="311"/>
      <c r="B73" s="64" t="s">
        <v>434</v>
      </c>
      <c r="C73" s="306">
        <f>3!D438</f>
        <v>120939</v>
      </c>
      <c r="D73" s="306">
        <f>3!E438</f>
        <v>0</v>
      </c>
      <c r="E73" s="312">
        <f>3!F438</f>
        <v>120939</v>
      </c>
    </row>
    <row r="74" spans="1:5" ht="15.75" customHeight="1">
      <c r="A74" s="239"/>
      <c r="B74" s="64" t="s">
        <v>435</v>
      </c>
      <c r="C74" s="263">
        <f>3!D439</f>
        <v>149842</v>
      </c>
      <c r="D74" s="263">
        <f>3!E439</f>
        <v>0</v>
      </c>
      <c r="E74" s="264">
        <f>3!F439</f>
        <v>149842</v>
      </c>
    </row>
    <row r="75" spans="1:5" ht="14.25" customHeight="1" thickBot="1">
      <c r="A75" s="313"/>
      <c r="B75" s="64" t="s">
        <v>436</v>
      </c>
      <c r="C75" s="308">
        <f>3!D440</f>
        <v>0</v>
      </c>
      <c r="D75" s="308">
        <f>3!E440</f>
        <v>0</v>
      </c>
      <c r="E75" s="213">
        <f>3!F440</f>
        <v>0</v>
      </c>
    </row>
    <row r="76" spans="1:6" ht="11.25" customHeight="1" thickBot="1" thickTop="1">
      <c r="A76" s="314">
        <v>11</v>
      </c>
      <c r="B76" s="315" t="s">
        <v>610</v>
      </c>
      <c r="C76" s="316"/>
      <c r="D76" s="317"/>
      <c r="E76" s="248"/>
      <c r="F76" s="41"/>
    </row>
    <row r="77" spans="1:6" ht="11.25" customHeight="1" thickTop="1">
      <c r="A77" s="318"/>
      <c r="B77" s="64" t="s">
        <v>434</v>
      </c>
      <c r="C77" s="301">
        <f>3!D442</f>
        <v>0</v>
      </c>
      <c r="D77" s="301">
        <f>3!E442</f>
        <v>0</v>
      </c>
      <c r="E77" s="319">
        <f>3!F442</f>
        <v>0</v>
      </c>
      <c r="F77" s="41"/>
    </row>
    <row r="78" spans="1:6" ht="11.25" customHeight="1">
      <c r="A78" s="278"/>
      <c r="B78" s="64" t="s">
        <v>435</v>
      </c>
      <c r="C78" s="252">
        <f>3!D443</f>
        <v>49558</v>
      </c>
      <c r="D78" s="252">
        <f>3!E443</f>
        <v>0</v>
      </c>
      <c r="E78" s="243">
        <f>3!F443</f>
        <v>49558</v>
      </c>
      <c r="F78" s="41"/>
    </row>
    <row r="79" spans="1:6" ht="11.25" customHeight="1" thickBot="1">
      <c r="A79" s="279"/>
      <c r="B79" s="72" t="s">
        <v>436</v>
      </c>
      <c r="C79" s="253">
        <f>3!D444</f>
        <v>0</v>
      </c>
      <c r="D79" s="253">
        <f>3!E444</f>
        <v>0</v>
      </c>
      <c r="E79" s="254">
        <f>3!F444</f>
        <v>0</v>
      </c>
      <c r="F79" s="41"/>
    </row>
    <row r="80" spans="1:5" s="5" customFormat="1" ht="12" customHeight="1" thickBot="1">
      <c r="A80" s="1272"/>
      <c r="B80" s="1272"/>
      <c r="C80" s="320"/>
      <c r="D80" s="320"/>
      <c r="E80" s="214"/>
    </row>
    <row r="81" spans="1:5" ht="13.5" customHeight="1" thickBot="1">
      <c r="A81" s="1266" t="s">
        <v>151</v>
      </c>
      <c r="B81" s="1267"/>
      <c r="C81" s="1267"/>
      <c r="D81" s="1267"/>
      <c r="E81" s="1268"/>
    </row>
    <row r="82" spans="1:5" s="6" customFormat="1" ht="11.25" customHeight="1">
      <c r="A82" s="255" t="s">
        <v>140</v>
      </c>
      <c r="B82" s="256" t="s">
        <v>152</v>
      </c>
      <c r="C82" s="257"/>
      <c r="D82" s="257"/>
      <c r="E82" s="258"/>
    </row>
    <row r="83" spans="1:5" s="7" customFormat="1" ht="13.5" customHeight="1">
      <c r="A83" s="241" t="s">
        <v>109</v>
      </c>
      <c r="B83" s="221" t="s">
        <v>129</v>
      </c>
      <c r="C83" s="242"/>
      <c r="D83" s="242"/>
      <c r="E83" s="243"/>
    </row>
    <row r="84" spans="1:5" s="7" customFormat="1" ht="13.5" customHeight="1">
      <c r="A84" s="241"/>
      <c r="B84" s="64" t="s">
        <v>434</v>
      </c>
      <c r="C84" s="242">
        <f>5!D624</f>
        <v>621607</v>
      </c>
      <c r="D84" s="242">
        <v>0</v>
      </c>
      <c r="E84" s="321">
        <f>SUM(C84:D84)</f>
        <v>621607</v>
      </c>
    </row>
    <row r="85" spans="1:5" s="7" customFormat="1" ht="13.5" customHeight="1">
      <c r="A85" s="241"/>
      <c r="B85" s="64" t="s">
        <v>435</v>
      </c>
      <c r="C85" s="242">
        <f>5!D625</f>
        <v>608360</v>
      </c>
      <c r="D85" s="242">
        <v>0</v>
      </c>
      <c r="E85" s="321">
        <f>SUM(C85:D85)</f>
        <v>608360</v>
      </c>
    </row>
    <row r="86" spans="1:5" s="7" customFormat="1" ht="13.5" customHeight="1">
      <c r="A86" s="241"/>
      <c r="B86" s="64" t="s">
        <v>436</v>
      </c>
      <c r="C86" s="242">
        <f>5!D626</f>
        <v>574080</v>
      </c>
      <c r="D86" s="242">
        <v>0</v>
      </c>
      <c r="E86" s="321">
        <f>SUM(C86:D86)</f>
        <v>574080</v>
      </c>
    </row>
    <row r="87" spans="1:5" s="7" customFormat="1" ht="13.5" customHeight="1">
      <c r="A87" s="241" t="s">
        <v>111</v>
      </c>
      <c r="B87" s="221" t="s">
        <v>130</v>
      </c>
      <c r="C87" s="242"/>
      <c r="D87" s="242"/>
      <c r="E87" s="243"/>
    </row>
    <row r="88" spans="1:5" s="7" customFormat="1" ht="13.5" customHeight="1">
      <c r="A88" s="241"/>
      <c r="B88" s="64" t="s">
        <v>434</v>
      </c>
      <c r="C88" s="242">
        <f>5!E624</f>
        <v>192523</v>
      </c>
      <c r="D88" s="242">
        <v>0</v>
      </c>
      <c r="E88" s="321">
        <f>SUM(C88:D88)</f>
        <v>192523</v>
      </c>
    </row>
    <row r="89" spans="1:5" s="7" customFormat="1" ht="13.5" customHeight="1">
      <c r="A89" s="241"/>
      <c r="B89" s="64" t="s">
        <v>435</v>
      </c>
      <c r="C89" s="242">
        <f>5!E625</f>
        <v>174020</v>
      </c>
      <c r="D89" s="242">
        <v>0</v>
      </c>
      <c r="E89" s="321">
        <f>SUM(C89:D89)</f>
        <v>174020</v>
      </c>
    </row>
    <row r="90" spans="1:5" s="7" customFormat="1" ht="13.5" customHeight="1">
      <c r="A90" s="241"/>
      <c r="B90" s="64" t="s">
        <v>436</v>
      </c>
      <c r="C90" s="242">
        <f>5!E626</f>
        <v>163312</v>
      </c>
      <c r="D90" s="242">
        <v>0</v>
      </c>
      <c r="E90" s="321">
        <f>SUM(C90:D90)</f>
        <v>163312</v>
      </c>
    </row>
    <row r="91" spans="1:5" s="7" customFormat="1" ht="13.5" customHeight="1">
      <c r="A91" s="241" t="s">
        <v>113</v>
      </c>
      <c r="B91" s="221" t="s">
        <v>131</v>
      </c>
      <c r="C91" s="242"/>
      <c r="D91" s="242"/>
      <c r="E91" s="243"/>
    </row>
    <row r="92" spans="1:5" s="7" customFormat="1" ht="13.5" customHeight="1">
      <c r="A92" s="241"/>
      <c r="B92" s="64" t="s">
        <v>434</v>
      </c>
      <c r="C92" s="242">
        <f>5!F624</f>
        <v>463362</v>
      </c>
      <c r="D92" s="242">
        <v>0</v>
      </c>
      <c r="E92" s="321">
        <f>SUM(C92:D92)</f>
        <v>463362</v>
      </c>
    </row>
    <row r="93" spans="1:5" s="7" customFormat="1" ht="13.5" customHeight="1">
      <c r="A93" s="241"/>
      <c r="B93" s="64" t="s">
        <v>435</v>
      </c>
      <c r="C93" s="242">
        <f>5!F625</f>
        <v>554355</v>
      </c>
      <c r="D93" s="242">
        <v>0</v>
      </c>
      <c r="E93" s="321">
        <f>SUM(C93:D93)</f>
        <v>554355</v>
      </c>
    </row>
    <row r="94" spans="1:5" s="7" customFormat="1" ht="13.5" customHeight="1">
      <c r="A94" s="241"/>
      <c r="B94" s="64" t="s">
        <v>436</v>
      </c>
      <c r="C94" s="242">
        <f>5!F626</f>
        <v>456755</v>
      </c>
      <c r="D94" s="242">
        <v>0</v>
      </c>
      <c r="E94" s="321">
        <f>SUM(C94:D94)</f>
        <v>456755</v>
      </c>
    </row>
    <row r="95" spans="1:5" s="7" customFormat="1" ht="13.5" customHeight="1">
      <c r="A95" s="241" t="s">
        <v>115</v>
      </c>
      <c r="B95" s="221" t="s">
        <v>153</v>
      </c>
      <c r="C95" s="242"/>
      <c r="D95" s="242"/>
      <c r="E95" s="243"/>
    </row>
    <row r="96" spans="1:5" s="7" customFormat="1" ht="13.5" customHeight="1">
      <c r="A96" s="241"/>
      <c r="B96" s="64" t="s">
        <v>434</v>
      </c>
      <c r="C96" s="242">
        <f>5!G624</f>
        <v>0</v>
      </c>
      <c r="D96" s="242">
        <v>0</v>
      </c>
      <c r="E96" s="321">
        <f>SUM(C96:D96)</f>
        <v>0</v>
      </c>
    </row>
    <row r="97" spans="1:5" s="7" customFormat="1" ht="13.5" customHeight="1">
      <c r="A97" s="241"/>
      <c r="B97" s="64" t="s">
        <v>435</v>
      </c>
      <c r="C97" s="242">
        <f>5!G625</f>
        <v>0</v>
      </c>
      <c r="D97" s="242">
        <v>0</v>
      </c>
      <c r="E97" s="321">
        <f>SUM(C97:D97)</f>
        <v>0</v>
      </c>
    </row>
    <row r="98" spans="1:5" s="7" customFormat="1" ht="13.5" customHeight="1">
      <c r="A98" s="241"/>
      <c r="B98" s="64" t="s">
        <v>436</v>
      </c>
      <c r="C98" s="242">
        <f>5!G626</f>
        <v>0</v>
      </c>
      <c r="D98" s="242">
        <v>0</v>
      </c>
      <c r="E98" s="321">
        <f>SUM(C98:D98)</f>
        <v>0</v>
      </c>
    </row>
    <row r="99" spans="1:5" s="7" customFormat="1" ht="13.5" customHeight="1">
      <c r="A99" s="241" t="s">
        <v>117</v>
      </c>
      <c r="B99" s="221" t="s">
        <v>338</v>
      </c>
      <c r="C99" s="242"/>
      <c r="D99" s="242"/>
      <c r="E99" s="243"/>
    </row>
    <row r="100" spans="1:5" s="7" customFormat="1" ht="13.5" customHeight="1">
      <c r="A100" s="241"/>
      <c r="B100" s="64" t="s">
        <v>434</v>
      </c>
      <c r="C100" s="242">
        <f>5!H624</f>
        <v>178893</v>
      </c>
      <c r="D100" s="242">
        <v>0</v>
      </c>
      <c r="E100" s="321">
        <f>SUM(C100:D100)</f>
        <v>178893</v>
      </c>
    </row>
    <row r="101" spans="1:5" s="7" customFormat="1" ht="13.5" customHeight="1">
      <c r="A101" s="241"/>
      <c r="B101" s="64" t="s">
        <v>435</v>
      </c>
      <c r="C101" s="242">
        <f>5!H625</f>
        <v>178343</v>
      </c>
      <c r="D101" s="242">
        <v>0</v>
      </c>
      <c r="E101" s="321">
        <f>SUM(C101:D101)</f>
        <v>178343</v>
      </c>
    </row>
    <row r="102" spans="1:5" s="7" customFormat="1" ht="13.5" customHeight="1">
      <c r="A102" s="241"/>
      <c r="B102" s="64" t="s">
        <v>436</v>
      </c>
      <c r="C102" s="242">
        <f>5!H626</f>
        <v>149440</v>
      </c>
      <c r="D102" s="242">
        <v>0</v>
      </c>
      <c r="E102" s="321">
        <f>SUM(C102:D102)</f>
        <v>149440</v>
      </c>
    </row>
    <row r="103" spans="1:5" s="7" customFormat="1" ht="13.5" customHeight="1">
      <c r="A103" s="241" t="s">
        <v>119</v>
      </c>
      <c r="B103" s="225" t="s">
        <v>334</v>
      </c>
      <c r="C103" s="242"/>
      <c r="D103" s="242"/>
      <c r="E103" s="243"/>
    </row>
    <row r="104" spans="1:5" s="7" customFormat="1" ht="13.5" customHeight="1">
      <c r="A104" s="241"/>
      <c r="B104" s="64" t="s">
        <v>434</v>
      </c>
      <c r="C104" s="242">
        <f>5!I624</f>
        <v>356709</v>
      </c>
      <c r="D104" s="242">
        <v>0</v>
      </c>
      <c r="E104" s="321">
        <f>SUM(C104:D104)</f>
        <v>356709</v>
      </c>
    </row>
    <row r="105" spans="1:5" s="7" customFormat="1" ht="13.5" customHeight="1">
      <c r="A105" s="241"/>
      <c r="B105" s="64" t="s">
        <v>435</v>
      </c>
      <c r="C105" s="242">
        <f>5!I625</f>
        <v>384905</v>
      </c>
      <c r="D105" s="242">
        <v>0</v>
      </c>
      <c r="E105" s="321">
        <f>SUM(C105:D105)</f>
        <v>384905</v>
      </c>
    </row>
    <row r="106" spans="1:5" s="7" customFormat="1" ht="13.5" customHeight="1" thickBot="1">
      <c r="A106" s="280"/>
      <c r="B106" s="78" t="s">
        <v>436</v>
      </c>
      <c r="C106" s="259">
        <f>5!I626</f>
        <v>372348</v>
      </c>
      <c r="D106" s="259">
        <v>0</v>
      </c>
      <c r="E106" s="321">
        <f>SUM(C106:D106)</f>
        <v>372348</v>
      </c>
    </row>
    <row r="107" spans="1:5" s="9" customFormat="1" ht="12" thickBot="1" thickTop="1">
      <c r="A107" s="270"/>
      <c r="B107" s="271" t="s">
        <v>481</v>
      </c>
      <c r="C107" s="272"/>
      <c r="D107" s="282">
        <f>SUM(D83:D99)</f>
        <v>0</v>
      </c>
      <c r="E107" s="273"/>
    </row>
    <row r="108" spans="1:5" s="9" customFormat="1" ht="12.75" customHeight="1" thickTop="1">
      <c r="A108" s="322"/>
      <c r="B108" s="66" t="s">
        <v>434</v>
      </c>
      <c r="C108" s="301">
        <f aca="true" t="shared" si="3" ref="C108:E110">C84+C88+C92+C96+C100+C104</f>
        <v>1813094</v>
      </c>
      <c r="D108" s="301">
        <f t="shared" si="3"/>
        <v>0</v>
      </c>
      <c r="E108" s="319">
        <f t="shared" si="3"/>
        <v>1813094</v>
      </c>
    </row>
    <row r="109" spans="1:5" s="9" customFormat="1" ht="12" customHeight="1">
      <c r="A109" s="244"/>
      <c r="B109" s="67" t="s">
        <v>435</v>
      </c>
      <c r="C109" s="252">
        <f t="shared" si="3"/>
        <v>1899983</v>
      </c>
      <c r="D109" s="252">
        <f t="shared" si="3"/>
        <v>0</v>
      </c>
      <c r="E109" s="243">
        <f t="shared" si="3"/>
        <v>1899983</v>
      </c>
    </row>
    <row r="110" spans="1:5" s="1242" customFormat="1" ht="12" customHeight="1">
      <c r="A110" s="244"/>
      <c r="B110" s="67" t="s">
        <v>436</v>
      </c>
      <c r="C110" s="252">
        <f t="shared" si="3"/>
        <v>1715935</v>
      </c>
      <c r="D110" s="252">
        <f t="shared" si="3"/>
        <v>0</v>
      </c>
      <c r="E110" s="243">
        <f t="shared" si="3"/>
        <v>1715935</v>
      </c>
    </row>
    <row r="111" spans="1:5" s="1243" customFormat="1" ht="12.75" customHeight="1">
      <c r="A111" s="239" t="s">
        <v>142</v>
      </c>
      <c r="B111" s="240" t="s">
        <v>155</v>
      </c>
      <c r="C111" s="269"/>
      <c r="D111" s="269"/>
      <c r="E111" s="264"/>
    </row>
    <row r="112" spans="1:5" s="7" customFormat="1" ht="13.5" customHeight="1">
      <c r="A112" s="241" t="s">
        <v>109</v>
      </c>
      <c r="B112" s="221" t="s">
        <v>156</v>
      </c>
      <c r="C112" s="242"/>
      <c r="D112" s="242"/>
      <c r="E112" s="243"/>
    </row>
    <row r="113" spans="1:5" s="7" customFormat="1" ht="13.5" customHeight="1">
      <c r="A113" s="241"/>
      <c r="B113" s="64" t="s">
        <v>434</v>
      </c>
      <c r="C113" s="242">
        <v>0</v>
      </c>
      <c r="D113" s="242">
        <f>6!D8+6!D47</f>
        <v>43292</v>
      </c>
      <c r="E113" s="243">
        <f>SUM(C113:D113)</f>
        <v>43292</v>
      </c>
    </row>
    <row r="114" spans="1:5" s="7" customFormat="1" ht="13.5" customHeight="1">
      <c r="A114" s="241"/>
      <c r="B114" s="64" t="s">
        <v>435</v>
      </c>
      <c r="C114" s="242">
        <v>0</v>
      </c>
      <c r="D114" s="242">
        <f>6!E8+6!E47</f>
        <v>630195</v>
      </c>
      <c r="E114" s="243">
        <f>SUM(C114:D114)</f>
        <v>630195</v>
      </c>
    </row>
    <row r="115" spans="1:5" s="7" customFormat="1" ht="13.5" customHeight="1">
      <c r="A115" s="241"/>
      <c r="B115" s="64" t="s">
        <v>436</v>
      </c>
      <c r="C115" s="242">
        <v>0</v>
      </c>
      <c r="D115" s="242">
        <f>6!F8+6!F47</f>
        <v>55396</v>
      </c>
      <c r="E115" s="243">
        <f>SUM(C115:D115)</f>
        <v>55396</v>
      </c>
    </row>
    <row r="116" spans="1:5" s="7" customFormat="1" ht="12" customHeight="1">
      <c r="A116" s="241" t="s">
        <v>111</v>
      </c>
      <c r="B116" s="221" t="s">
        <v>157</v>
      </c>
      <c r="C116" s="242"/>
      <c r="D116" s="242"/>
      <c r="E116" s="243"/>
    </row>
    <row r="117" spans="1:5" s="7" customFormat="1" ht="12" customHeight="1">
      <c r="A117" s="241"/>
      <c r="B117" s="64" t="s">
        <v>434</v>
      </c>
      <c r="C117" s="242">
        <v>0</v>
      </c>
      <c r="D117" s="242">
        <f>6!D62</f>
        <v>12813</v>
      </c>
      <c r="E117" s="243">
        <f>SUM(C117:D117)</f>
        <v>12813</v>
      </c>
    </row>
    <row r="118" spans="1:5" s="7" customFormat="1" ht="12" customHeight="1">
      <c r="A118" s="241"/>
      <c r="B118" s="64" t="s">
        <v>435</v>
      </c>
      <c r="C118" s="242">
        <v>0</v>
      </c>
      <c r="D118" s="242">
        <f>6!E62</f>
        <v>69384</v>
      </c>
      <c r="E118" s="243">
        <f>SUM(C118:D118)</f>
        <v>69384</v>
      </c>
    </row>
    <row r="119" spans="1:5" s="7" customFormat="1" ht="12" customHeight="1">
      <c r="A119" s="241"/>
      <c r="B119" s="64" t="s">
        <v>436</v>
      </c>
      <c r="C119" s="242">
        <v>0</v>
      </c>
      <c r="D119" s="242">
        <f>6!F62</f>
        <v>35568</v>
      </c>
      <c r="E119" s="243">
        <f>SUM(C119:D119)</f>
        <v>35568</v>
      </c>
    </row>
    <row r="120" spans="1:5" s="7" customFormat="1" ht="12" customHeight="1">
      <c r="A120" s="241" t="s">
        <v>113</v>
      </c>
      <c r="B120" s="221" t="s">
        <v>158</v>
      </c>
      <c r="C120" s="242"/>
      <c r="D120" s="242"/>
      <c r="E120" s="243"/>
    </row>
    <row r="121" spans="1:5" s="7" customFormat="1" ht="12" customHeight="1">
      <c r="A121" s="241"/>
      <c r="B121" s="64" t="s">
        <v>434</v>
      </c>
      <c r="C121" s="242">
        <v>0</v>
      </c>
      <c r="D121" s="242">
        <f>6!D89</f>
        <v>26979</v>
      </c>
      <c r="E121" s="243">
        <f>SUM(C121:D121)</f>
        <v>26979</v>
      </c>
    </row>
    <row r="122" spans="1:5" s="7" customFormat="1" ht="12" customHeight="1">
      <c r="A122" s="241"/>
      <c r="B122" s="64" t="s">
        <v>435</v>
      </c>
      <c r="C122" s="242">
        <v>0</v>
      </c>
      <c r="D122" s="242">
        <f>6!E89</f>
        <v>42906</v>
      </c>
      <c r="E122" s="243">
        <f>SUM(C122:D122)</f>
        <v>42906</v>
      </c>
    </row>
    <row r="123" spans="1:5" s="7" customFormat="1" ht="12" customHeight="1" thickBot="1">
      <c r="A123" s="280"/>
      <c r="B123" s="78" t="s">
        <v>436</v>
      </c>
      <c r="C123" s="259">
        <v>0</v>
      </c>
      <c r="D123" s="242">
        <f>6!F89</f>
        <v>31665</v>
      </c>
      <c r="E123" s="243">
        <f>SUM(C123:D123)</f>
        <v>31665</v>
      </c>
    </row>
    <row r="124" spans="1:5" s="9" customFormat="1" ht="12.75" customHeight="1" thickBot="1" thickTop="1">
      <c r="A124" s="270"/>
      <c r="B124" s="271" t="s">
        <v>482</v>
      </c>
      <c r="C124" s="282"/>
      <c r="D124" s="272"/>
      <c r="E124" s="273"/>
    </row>
    <row r="125" spans="1:5" s="9" customFormat="1" ht="12.75" customHeight="1" thickTop="1">
      <c r="A125" s="274"/>
      <c r="B125" s="67" t="s">
        <v>434</v>
      </c>
      <c r="C125" s="275">
        <f aca="true" t="shared" si="4" ref="C125:E127">C113+C117+C121</f>
        <v>0</v>
      </c>
      <c r="D125" s="275">
        <f t="shared" si="4"/>
        <v>83084</v>
      </c>
      <c r="E125" s="276">
        <f t="shared" si="4"/>
        <v>83084</v>
      </c>
    </row>
    <row r="126" spans="1:5" s="9" customFormat="1" ht="12.75" customHeight="1">
      <c r="A126" s="244"/>
      <c r="B126" s="67" t="s">
        <v>435</v>
      </c>
      <c r="C126" s="252">
        <f t="shared" si="4"/>
        <v>0</v>
      </c>
      <c r="D126" s="252">
        <f t="shared" si="4"/>
        <v>742485</v>
      </c>
      <c r="E126" s="243">
        <f t="shared" si="4"/>
        <v>742485</v>
      </c>
    </row>
    <row r="127" spans="1:5" s="9" customFormat="1" ht="12.75" customHeight="1">
      <c r="A127" s="244"/>
      <c r="B127" s="68" t="s">
        <v>436</v>
      </c>
      <c r="C127" s="252">
        <f t="shared" si="4"/>
        <v>0</v>
      </c>
      <c r="D127" s="252">
        <f t="shared" si="4"/>
        <v>122629</v>
      </c>
      <c r="E127" s="243">
        <f t="shared" si="4"/>
        <v>122629</v>
      </c>
    </row>
    <row r="128" spans="1:5" s="6" customFormat="1" ht="15" customHeight="1">
      <c r="A128" s="239" t="s">
        <v>159</v>
      </c>
      <c r="B128" s="240" t="s">
        <v>133</v>
      </c>
      <c r="C128" s="269"/>
      <c r="D128" s="269"/>
      <c r="E128" s="264"/>
    </row>
    <row r="129" spans="1:5" s="7" customFormat="1" ht="13.5" customHeight="1">
      <c r="A129" s="241" t="s">
        <v>109</v>
      </c>
      <c r="B129" s="221" t="s">
        <v>160</v>
      </c>
      <c r="C129" s="242"/>
      <c r="D129" s="242"/>
      <c r="E129" s="243"/>
    </row>
    <row r="130" spans="1:5" s="7" customFormat="1" ht="13.5" customHeight="1">
      <c r="A130" s="241"/>
      <c r="B130" s="64" t="s">
        <v>434</v>
      </c>
      <c r="C130" s="242">
        <f>3!D558</f>
        <v>10000</v>
      </c>
      <c r="D130" s="242">
        <f>3!E558</f>
        <v>0</v>
      </c>
      <c r="E130" s="321">
        <f>3!F558</f>
        <v>10000</v>
      </c>
    </row>
    <row r="131" spans="1:5" s="7" customFormat="1" ht="13.5" customHeight="1">
      <c r="A131" s="241"/>
      <c r="B131" s="64" t="s">
        <v>435</v>
      </c>
      <c r="C131" s="242">
        <f>3!D559</f>
        <v>2510</v>
      </c>
      <c r="D131" s="242">
        <f>3!E559</f>
        <v>0</v>
      </c>
      <c r="E131" s="321">
        <f>3!F559</f>
        <v>2510</v>
      </c>
    </row>
    <row r="132" spans="1:5" s="7" customFormat="1" ht="13.5" customHeight="1">
      <c r="A132" s="241"/>
      <c r="B132" s="64" t="s">
        <v>436</v>
      </c>
      <c r="C132" s="242">
        <f>3!D560</f>
        <v>0</v>
      </c>
      <c r="D132" s="242">
        <f>3!E560</f>
        <v>0</v>
      </c>
      <c r="E132" s="321">
        <f>3!F560</f>
        <v>0</v>
      </c>
    </row>
    <row r="133" spans="1:5" s="7" customFormat="1" ht="12" customHeight="1">
      <c r="A133" s="241" t="s">
        <v>111</v>
      </c>
      <c r="B133" s="221" t="s">
        <v>161</v>
      </c>
      <c r="C133" s="242"/>
      <c r="D133" s="242"/>
      <c r="E133" s="243"/>
    </row>
    <row r="134" spans="1:5" s="7" customFormat="1" ht="12" customHeight="1">
      <c r="A134" s="241"/>
      <c r="B134" s="64" t="s">
        <v>434</v>
      </c>
      <c r="C134" s="242">
        <f>3!D562</f>
        <v>12600</v>
      </c>
      <c r="D134" s="242">
        <f>3!E562</f>
        <v>0</v>
      </c>
      <c r="E134" s="321">
        <f>3!F562</f>
        <v>12600</v>
      </c>
    </row>
    <row r="135" spans="1:5" s="7" customFormat="1" ht="12" customHeight="1">
      <c r="A135" s="241"/>
      <c r="B135" s="64" t="s">
        <v>435</v>
      </c>
      <c r="C135" s="242">
        <f>3!D563</f>
        <v>11174</v>
      </c>
      <c r="D135" s="242">
        <f>3!E563</f>
        <v>0</v>
      </c>
      <c r="E135" s="321">
        <f>3!F563</f>
        <v>11174</v>
      </c>
    </row>
    <row r="136" spans="1:5" s="7" customFormat="1" ht="12" customHeight="1">
      <c r="A136" s="280"/>
      <c r="B136" s="78" t="s">
        <v>436</v>
      </c>
      <c r="C136" s="242">
        <f>3!D564</f>
        <v>0</v>
      </c>
      <c r="D136" s="242">
        <f>3!E564</f>
        <v>0</v>
      </c>
      <c r="E136" s="321">
        <f>3!F564</f>
        <v>0</v>
      </c>
    </row>
    <row r="137" spans="1:5" s="7" customFormat="1" ht="12" customHeight="1">
      <c r="A137" s="335" t="s">
        <v>113</v>
      </c>
      <c r="B137" s="433" t="s">
        <v>319</v>
      </c>
      <c r="C137" s="259"/>
      <c r="D137" s="259"/>
      <c r="E137" s="835"/>
    </row>
    <row r="138" spans="1:5" s="7" customFormat="1" ht="12" customHeight="1">
      <c r="A138" s="335"/>
      <c r="B138" s="64" t="s">
        <v>434</v>
      </c>
      <c r="C138" s="242" t="str">
        <f>3!D566</f>
        <v> </v>
      </c>
      <c r="D138" s="242"/>
      <c r="E138" s="321" t="str">
        <f>C138</f>
        <v> </v>
      </c>
    </row>
    <row r="139" spans="1:5" s="7" customFormat="1" ht="12" customHeight="1">
      <c r="A139" s="335"/>
      <c r="B139" s="64" t="s">
        <v>435</v>
      </c>
      <c r="C139" s="242">
        <v>0</v>
      </c>
      <c r="D139" s="242">
        <f>3!E567</f>
        <v>300000</v>
      </c>
      <c r="E139" s="321">
        <f>D139</f>
        <v>300000</v>
      </c>
    </row>
    <row r="140" spans="1:5" s="7" customFormat="1" ht="12" customHeight="1" thickBot="1">
      <c r="A140" s="360"/>
      <c r="B140" s="78" t="s">
        <v>436</v>
      </c>
      <c r="C140" s="259">
        <v>0</v>
      </c>
      <c r="D140" s="259">
        <f>3!E568</f>
        <v>0</v>
      </c>
      <c r="E140" s="835">
        <f>D140</f>
        <v>0</v>
      </c>
    </row>
    <row r="141" spans="1:5" s="9" customFormat="1" ht="12.75" customHeight="1" thickBot="1" thickTop="1">
      <c r="A141" s="270"/>
      <c r="B141" s="271" t="s">
        <v>483</v>
      </c>
      <c r="C141" s="272"/>
      <c r="D141" s="282">
        <f>SUM(D129:D133)</f>
        <v>0</v>
      </c>
      <c r="E141" s="273"/>
    </row>
    <row r="142" spans="1:5" s="9" customFormat="1" ht="12.75" customHeight="1" thickTop="1">
      <c r="A142" s="283"/>
      <c r="B142" s="67" t="s">
        <v>434</v>
      </c>
      <c r="C142" s="250">
        <f>C130+C134</f>
        <v>22600</v>
      </c>
      <c r="D142" s="250">
        <f>D130+D134</f>
        <v>0</v>
      </c>
      <c r="E142" s="251">
        <f>E130+E134</f>
        <v>22600</v>
      </c>
    </row>
    <row r="143" spans="1:5" s="9" customFormat="1" ht="12.75" customHeight="1">
      <c r="A143" s="244"/>
      <c r="B143" s="67" t="s">
        <v>435</v>
      </c>
      <c r="C143" s="252">
        <f aca="true" t="shared" si="5" ref="C143:E144">C131+C135+C139</f>
        <v>13684</v>
      </c>
      <c r="D143" s="252">
        <f t="shared" si="5"/>
        <v>300000</v>
      </c>
      <c r="E143" s="243">
        <f t="shared" si="5"/>
        <v>313684</v>
      </c>
    </row>
    <row r="144" spans="1:5" s="9" customFormat="1" ht="12.75" customHeight="1">
      <c r="A144" s="274"/>
      <c r="B144" s="323" t="s">
        <v>436</v>
      </c>
      <c r="C144" s="252">
        <f t="shared" si="5"/>
        <v>0</v>
      </c>
      <c r="D144" s="301">
        <f t="shared" si="5"/>
        <v>0</v>
      </c>
      <c r="E144" s="243">
        <f t="shared" si="5"/>
        <v>0</v>
      </c>
    </row>
    <row r="145" spans="1:5" s="9" customFormat="1" ht="13.5" customHeight="1" thickBot="1">
      <c r="A145" s="304"/>
      <c r="B145" s="324"/>
      <c r="C145" s="325"/>
      <c r="D145" s="325"/>
      <c r="E145" s="326"/>
    </row>
    <row r="146" spans="1:5" s="10" customFormat="1" ht="12.75" customHeight="1" thickBot="1" thickTop="1">
      <c r="A146" s="245"/>
      <c r="B146" s="246" t="s">
        <v>93</v>
      </c>
      <c r="C146" s="247"/>
      <c r="D146" s="247"/>
      <c r="E146" s="248"/>
    </row>
    <row r="147" spans="1:5" s="10" customFormat="1" ht="12" customHeight="1" thickTop="1">
      <c r="A147" s="305"/>
      <c r="B147" s="249" t="s">
        <v>434</v>
      </c>
      <c r="C147" s="261">
        <f aca="true" t="shared" si="6" ref="C147:E149">C108+C125+C142</f>
        <v>1835694</v>
      </c>
      <c r="D147" s="261">
        <f t="shared" si="6"/>
        <v>83084</v>
      </c>
      <c r="E147" s="262">
        <f t="shared" si="6"/>
        <v>1918778</v>
      </c>
    </row>
    <row r="148" spans="1:5" s="10" customFormat="1" ht="10.5" customHeight="1">
      <c r="A148" s="239"/>
      <c r="B148" s="67" t="s">
        <v>435</v>
      </c>
      <c r="C148" s="263">
        <f t="shared" si="6"/>
        <v>1913667</v>
      </c>
      <c r="D148" s="263">
        <f t="shared" si="6"/>
        <v>1042485</v>
      </c>
      <c r="E148" s="264">
        <f t="shared" si="6"/>
        <v>2956152</v>
      </c>
    </row>
    <row r="149" spans="1:5" s="10" customFormat="1" ht="12" customHeight="1" thickBot="1">
      <c r="A149" s="327"/>
      <c r="B149" s="284" t="s">
        <v>436</v>
      </c>
      <c r="C149" s="265">
        <f t="shared" si="6"/>
        <v>1715935</v>
      </c>
      <c r="D149" s="265">
        <f t="shared" si="6"/>
        <v>122629</v>
      </c>
      <c r="E149" s="266">
        <f t="shared" si="6"/>
        <v>1838564</v>
      </c>
    </row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351" spans="1:5" s="5" customFormat="1" ht="10.5">
      <c r="A351" s="328"/>
      <c r="B351" s="328"/>
      <c r="C351" s="328"/>
      <c r="D351" s="328"/>
      <c r="E351" s="328"/>
    </row>
    <row r="352" spans="1:5" s="5" customFormat="1" ht="10.5">
      <c r="A352" s="328"/>
      <c r="B352" s="328"/>
      <c r="C352" s="328"/>
      <c r="D352" s="328"/>
      <c r="E352" s="328"/>
    </row>
    <row r="353" spans="1:5" s="5" customFormat="1" ht="10.5">
      <c r="A353" s="328"/>
      <c r="B353" s="328"/>
      <c r="C353" s="328"/>
      <c r="D353" s="328"/>
      <c r="E353" s="328"/>
    </row>
  </sheetData>
  <sheetProtection/>
  <mergeCells count="5">
    <mergeCell ref="A81:E81"/>
    <mergeCell ref="A7:B8"/>
    <mergeCell ref="E7:E8"/>
    <mergeCell ref="A10:E10"/>
    <mergeCell ref="A80:B8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2"/>
  <rowBreaks count="5" manualBreakCount="5">
    <brk id="59" max="4" man="1"/>
    <brk id="110" max="4" man="1"/>
    <brk id="149" max="255" man="1"/>
    <brk id="217" max="255" man="1"/>
    <brk id="28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="145" zoomScaleSheetLayoutView="145" zoomScalePageLayoutView="0" workbookViewId="0" topLeftCell="A40">
      <selection activeCell="F41" sqref="F41"/>
    </sheetView>
  </sheetViews>
  <sheetFormatPr defaultColWidth="9.00390625" defaultRowHeight="12.75"/>
  <cols>
    <col min="1" max="1" width="5.00390625" style="267" customWidth="1"/>
    <col min="2" max="2" width="21.125" style="267" customWidth="1"/>
    <col min="3" max="3" width="11.00390625" style="417" customWidth="1"/>
    <col min="4" max="4" width="9.125" style="417" customWidth="1"/>
    <col min="5" max="5" width="7.75390625" style="267" customWidth="1"/>
    <col min="6" max="6" width="10.125" style="267" customWidth="1"/>
    <col min="7" max="7" width="7.875" style="267" customWidth="1"/>
    <col min="8" max="8" width="8.625" style="267" customWidth="1"/>
    <col min="9" max="9" width="8.875" style="267" customWidth="1"/>
    <col min="10" max="10" width="9.125" style="267" customWidth="1"/>
  </cols>
  <sheetData>
    <row r="1" spans="1:10" ht="12.75">
      <c r="A1" s="380"/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2.75">
      <c r="A2" s="380"/>
      <c r="B2" s="380"/>
      <c r="C2" s="380"/>
      <c r="D2" s="380"/>
      <c r="E2" s="380"/>
      <c r="F2" s="380"/>
      <c r="G2" s="380"/>
      <c r="H2" s="380"/>
      <c r="I2" s="380"/>
      <c r="J2" s="380"/>
    </row>
    <row r="3" spans="1:10" ht="12.75">
      <c r="A3" s="380"/>
      <c r="B3" s="380"/>
      <c r="C3" s="380"/>
      <c r="D3" s="380"/>
      <c r="E3" s="380"/>
      <c r="F3" s="380"/>
      <c r="G3" s="380"/>
      <c r="H3" s="380"/>
      <c r="I3" s="380"/>
      <c r="J3" s="380"/>
    </row>
    <row r="4" spans="1:10" ht="12.75">
      <c r="A4" s="380"/>
      <c r="B4" s="380"/>
      <c r="C4" s="380"/>
      <c r="D4" s="380"/>
      <c r="E4" s="380"/>
      <c r="F4" s="380"/>
      <c r="G4" s="380"/>
      <c r="H4" s="380"/>
      <c r="I4" s="380"/>
      <c r="J4" s="380"/>
    </row>
    <row r="5" spans="1:10" ht="12.75">
      <c r="A5" s="380"/>
      <c r="B5" s="380"/>
      <c r="C5" s="380"/>
      <c r="D5" s="380"/>
      <c r="E5" s="380"/>
      <c r="F5" s="380"/>
      <c r="G5" s="380"/>
      <c r="H5" s="380"/>
      <c r="I5" s="380"/>
      <c r="J5" s="380"/>
    </row>
    <row r="6" spans="1:10" ht="12.75">
      <c r="A6" s="380"/>
      <c r="B6" s="380"/>
      <c r="C6" s="380"/>
      <c r="D6" s="380"/>
      <c r="E6" s="380"/>
      <c r="F6" s="380"/>
      <c r="G6" s="380"/>
      <c r="H6" s="380"/>
      <c r="I6" s="380"/>
      <c r="J6" s="380"/>
    </row>
    <row r="7" spans="1:10" ht="12.75">
      <c r="A7" s="380"/>
      <c r="B7" s="380"/>
      <c r="C7" s="380"/>
      <c r="D7" s="380"/>
      <c r="E7" s="380"/>
      <c r="F7" s="380"/>
      <c r="G7" s="380"/>
      <c r="H7" s="380"/>
      <c r="I7" s="380"/>
      <c r="J7" s="380"/>
    </row>
    <row r="8" spans="1:10" ht="13.5" thickBot="1">
      <c r="A8" s="380"/>
      <c r="B8" s="380"/>
      <c r="C8" s="380"/>
      <c r="D8" s="380"/>
      <c r="E8" s="380"/>
      <c r="F8" s="380"/>
      <c r="G8" s="380"/>
      <c r="H8" s="380"/>
      <c r="I8" s="380"/>
      <c r="J8" s="381" t="s">
        <v>163</v>
      </c>
    </row>
    <row r="9" spans="1:10" ht="14.25" customHeight="1">
      <c r="A9" s="382"/>
      <c r="B9" s="383"/>
      <c r="C9" s="1273" t="s">
        <v>233</v>
      </c>
      <c r="D9" s="1274"/>
      <c r="E9" s="1275"/>
      <c r="F9" s="1281" t="s">
        <v>685</v>
      </c>
      <c r="G9" s="384"/>
      <c r="H9" s="1273" t="s">
        <v>430</v>
      </c>
      <c r="I9" s="1275"/>
      <c r="J9" s="385"/>
    </row>
    <row r="10" spans="1:10" ht="12.75" customHeight="1">
      <c r="A10" s="386" t="s">
        <v>234</v>
      </c>
      <c r="B10" s="387" t="s">
        <v>235</v>
      </c>
      <c r="C10" s="1276"/>
      <c r="D10" s="1277"/>
      <c r="E10" s="1278"/>
      <c r="F10" s="1282"/>
      <c r="G10" s="388" t="s">
        <v>236</v>
      </c>
      <c r="H10" s="1276"/>
      <c r="I10" s="1278"/>
      <c r="J10" s="389" t="s">
        <v>237</v>
      </c>
    </row>
    <row r="11" spans="1:10" ht="21">
      <c r="A11" s="386" t="s">
        <v>238</v>
      </c>
      <c r="B11" s="387" t="s">
        <v>239</v>
      </c>
      <c r="C11" s="390" t="s">
        <v>240</v>
      </c>
      <c r="D11" s="390" t="s">
        <v>241</v>
      </c>
      <c r="E11" s="390" t="s">
        <v>242</v>
      </c>
      <c r="F11" s="387" t="s">
        <v>686</v>
      </c>
      <c r="G11" s="388" t="s">
        <v>243</v>
      </c>
      <c r="H11" s="1279" t="s">
        <v>135</v>
      </c>
      <c r="I11" s="1279" t="s">
        <v>488</v>
      </c>
      <c r="J11" s="389" t="s">
        <v>244</v>
      </c>
    </row>
    <row r="12" spans="1:10" ht="27" customHeight="1" thickBot="1">
      <c r="A12" s="391"/>
      <c r="B12" s="392"/>
      <c r="C12" s="393" t="s">
        <v>245</v>
      </c>
      <c r="D12" s="393" t="s">
        <v>246</v>
      </c>
      <c r="E12" s="393" t="s">
        <v>247</v>
      </c>
      <c r="F12" s="392"/>
      <c r="G12" s="393"/>
      <c r="H12" s="1280"/>
      <c r="I12" s="1280"/>
      <c r="J12" s="394"/>
    </row>
    <row r="13" spans="1:10" ht="27.75" customHeight="1">
      <c r="A13" s="395" t="s">
        <v>109</v>
      </c>
      <c r="B13" s="396" t="s">
        <v>356</v>
      </c>
      <c r="C13" s="397"/>
      <c r="D13" s="397"/>
      <c r="E13" s="397"/>
      <c r="F13" s="398"/>
      <c r="G13" s="397"/>
      <c r="H13" s="397"/>
      <c r="I13" s="397"/>
      <c r="J13" s="399"/>
    </row>
    <row r="14" spans="1:10" ht="11.25" customHeight="1">
      <c r="A14" s="400"/>
      <c r="B14" s="64" t="s">
        <v>434</v>
      </c>
      <c r="C14" s="401">
        <v>9400</v>
      </c>
      <c r="D14" s="401">
        <v>4260</v>
      </c>
      <c r="E14" s="401">
        <v>0</v>
      </c>
      <c r="F14" s="401">
        <v>77112</v>
      </c>
      <c r="G14" s="401">
        <v>0</v>
      </c>
      <c r="H14" s="401">
        <v>0</v>
      </c>
      <c r="I14" s="401">
        <v>0</v>
      </c>
      <c r="J14" s="402">
        <f>SUM(C14:I14)</f>
        <v>90772</v>
      </c>
    </row>
    <row r="15" spans="1:11" ht="11.25" customHeight="1">
      <c r="A15" s="400"/>
      <c r="B15" s="64" t="s">
        <v>435</v>
      </c>
      <c r="C15" s="401">
        <v>10500</v>
      </c>
      <c r="D15" s="401">
        <v>4596</v>
      </c>
      <c r="E15" s="401">
        <v>0</v>
      </c>
      <c r="F15" s="401">
        <v>78862</v>
      </c>
      <c r="G15" s="401">
        <v>0</v>
      </c>
      <c r="H15" s="401">
        <v>0</v>
      </c>
      <c r="I15" s="401">
        <v>0</v>
      </c>
      <c r="J15" s="402">
        <f>SUM(C15:I15)</f>
        <v>93958</v>
      </c>
      <c r="K15" s="447"/>
    </row>
    <row r="16" spans="1:10" ht="11.25" customHeight="1">
      <c r="A16" s="400"/>
      <c r="B16" s="64" t="s">
        <v>436</v>
      </c>
      <c r="C16" s="401">
        <v>12213</v>
      </c>
      <c r="D16" s="401">
        <f>20+4612+1</f>
        <v>4633</v>
      </c>
      <c r="E16" s="401">
        <v>0</v>
      </c>
      <c r="F16" s="401">
        <f>5!N10-4!I16-4!D16-4!C16</f>
        <v>72694</v>
      </c>
      <c r="G16" s="401">
        <v>0</v>
      </c>
      <c r="H16" s="401">
        <v>0</v>
      </c>
      <c r="I16" s="401">
        <v>0</v>
      </c>
      <c r="J16" s="402">
        <f>SUM(C16:I16)</f>
        <v>89540</v>
      </c>
    </row>
    <row r="17" spans="1:10" ht="23.25" customHeight="1">
      <c r="A17" s="400" t="s">
        <v>111</v>
      </c>
      <c r="B17" s="403" t="s">
        <v>489</v>
      </c>
      <c r="C17" s="401"/>
      <c r="D17" s="401"/>
      <c r="E17" s="401"/>
      <c r="F17" s="401"/>
      <c r="G17" s="401"/>
      <c r="H17" s="401"/>
      <c r="I17" s="401"/>
      <c r="J17" s="402"/>
    </row>
    <row r="18" spans="1:10" ht="13.5" customHeight="1">
      <c r="A18" s="400"/>
      <c r="B18" s="64" t="s">
        <v>434</v>
      </c>
      <c r="C18" s="401">
        <v>0</v>
      </c>
      <c r="D18" s="401">
        <v>4540</v>
      </c>
      <c r="E18" s="401">
        <v>0</v>
      </c>
      <c r="F18" s="401">
        <v>10783</v>
      </c>
      <c r="G18" s="401">
        <v>34841</v>
      </c>
      <c r="H18" s="401">
        <v>0</v>
      </c>
      <c r="I18" s="401">
        <v>0</v>
      </c>
      <c r="J18" s="402">
        <f>SUM(C18:I18)</f>
        <v>50164</v>
      </c>
    </row>
    <row r="19" spans="1:10" ht="11.25" customHeight="1">
      <c r="A19" s="400"/>
      <c r="B19" s="64" t="s">
        <v>435</v>
      </c>
      <c r="C19" s="401">
        <v>0</v>
      </c>
      <c r="D19" s="401">
        <v>4040</v>
      </c>
      <c r="E19" s="401">
        <v>0</v>
      </c>
      <c r="F19" s="401">
        <v>10129</v>
      </c>
      <c r="G19" s="401">
        <v>34841</v>
      </c>
      <c r="H19" s="401">
        <v>0</v>
      </c>
      <c r="I19" s="401">
        <v>0</v>
      </c>
      <c r="J19" s="402">
        <f>SUM(C19:I19)</f>
        <v>49010</v>
      </c>
    </row>
    <row r="20" spans="1:10" ht="9.75" customHeight="1">
      <c r="A20" s="400"/>
      <c r="B20" s="64" t="s">
        <v>436</v>
      </c>
      <c r="C20" s="401">
        <v>0</v>
      </c>
      <c r="D20" s="401">
        <v>4244</v>
      </c>
      <c r="E20" s="401">
        <v>0</v>
      </c>
      <c r="F20" s="401">
        <f>5!N14-4!G20-4!I20-4!E20-4!D20</f>
        <v>4158</v>
      </c>
      <c r="G20" s="401">
        <v>34790</v>
      </c>
      <c r="H20" s="401">
        <v>0</v>
      </c>
      <c r="I20" s="401">
        <v>0</v>
      </c>
      <c r="J20" s="402">
        <f>SUM(C20:I20)</f>
        <v>43192</v>
      </c>
    </row>
    <row r="21" spans="1:10" ht="21.75" customHeight="1">
      <c r="A21" s="400" t="s">
        <v>113</v>
      </c>
      <c r="B21" s="403" t="s">
        <v>357</v>
      </c>
      <c r="C21" s="401"/>
      <c r="D21" s="401"/>
      <c r="E21" s="401"/>
      <c r="F21" s="401"/>
      <c r="G21" s="401"/>
      <c r="H21" s="401"/>
      <c r="I21" s="401"/>
      <c r="J21" s="402"/>
    </row>
    <row r="22" spans="1:10" ht="13.5" customHeight="1">
      <c r="A22" s="400"/>
      <c r="B22" s="64" t="s">
        <v>434</v>
      </c>
      <c r="C22" s="401">
        <v>6207</v>
      </c>
      <c r="D22" s="401">
        <v>54</v>
      </c>
      <c r="E22" s="401">
        <v>0</v>
      </c>
      <c r="F22" s="401">
        <v>113463</v>
      </c>
      <c r="G22" s="401">
        <v>0</v>
      </c>
      <c r="H22" s="401">
        <v>0</v>
      </c>
      <c r="I22" s="401">
        <v>0</v>
      </c>
      <c r="J22" s="402">
        <f>SUM(C22:I22)</f>
        <v>119724</v>
      </c>
    </row>
    <row r="23" spans="1:10" ht="13.5" customHeight="1">
      <c r="A23" s="400"/>
      <c r="B23" s="64" t="s">
        <v>435</v>
      </c>
      <c r="C23" s="401">
        <v>6207</v>
      </c>
      <c r="D23" s="401">
        <v>134</v>
      </c>
      <c r="E23" s="401">
        <v>0</v>
      </c>
      <c r="F23" s="401">
        <v>112278</v>
      </c>
      <c r="G23" s="401">
        <v>0</v>
      </c>
      <c r="H23" s="401">
        <v>0</v>
      </c>
      <c r="I23" s="401">
        <v>0</v>
      </c>
      <c r="J23" s="402">
        <f>SUM(C23:I23)</f>
        <v>118619</v>
      </c>
    </row>
    <row r="24" spans="1:11" ht="10.5" customHeight="1">
      <c r="A24" s="395"/>
      <c r="B24" s="64" t="s">
        <v>436</v>
      </c>
      <c r="C24" s="401">
        <f>252+6948</f>
        <v>7200</v>
      </c>
      <c r="D24" s="401">
        <f>64+5+80+1</f>
        <v>150</v>
      </c>
      <c r="E24" s="401">
        <v>0</v>
      </c>
      <c r="F24" s="401">
        <f>5!N18-4!I24-4!D24-4!C24</f>
        <v>103062</v>
      </c>
      <c r="G24" s="401">
        <v>0</v>
      </c>
      <c r="H24" s="401">
        <v>0</v>
      </c>
      <c r="I24" s="401">
        <v>0</v>
      </c>
      <c r="J24" s="402">
        <f>SUM(C24:I24)</f>
        <v>110412</v>
      </c>
      <c r="K24" s="448"/>
    </row>
    <row r="25" spans="1:10" ht="19.5" customHeight="1">
      <c r="A25" s="400" t="s">
        <v>115</v>
      </c>
      <c r="B25" s="403" t="s">
        <v>229</v>
      </c>
      <c r="C25" s="401"/>
      <c r="D25" s="401"/>
      <c r="E25" s="401"/>
      <c r="F25" s="401"/>
      <c r="G25" s="401"/>
      <c r="H25" s="401"/>
      <c r="I25" s="401"/>
      <c r="J25" s="402"/>
    </row>
    <row r="26" spans="1:10" ht="13.5" customHeight="1">
      <c r="A26" s="400"/>
      <c r="B26" s="64" t="s">
        <v>434</v>
      </c>
      <c r="C26" s="401">
        <v>5020</v>
      </c>
      <c r="D26" s="401">
        <v>0</v>
      </c>
      <c r="E26" s="401">
        <v>0</v>
      </c>
      <c r="F26" s="401">
        <v>21251</v>
      </c>
      <c r="G26" s="401">
        <v>0</v>
      </c>
      <c r="H26" s="401">
        <v>0</v>
      </c>
      <c r="I26" s="401">
        <v>0</v>
      </c>
      <c r="J26" s="402">
        <f>SUM(C26:I26)</f>
        <v>26271</v>
      </c>
    </row>
    <row r="27" spans="1:10" ht="12.75" customHeight="1">
      <c r="A27" s="400"/>
      <c r="B27" s="64" t="s">
        <v>435</v>
      </c>
      <c r="C27" s="401">
        <v>5020</v>
      </c>
      <c r="D27" s="401">
        <v>434</v>
      </c>
      <c r="E27" s="401">
        <v>0</v>
      </c>
      <c r="F27" s="401">
        <v>22871</v>
      </c>
      <c r="G27" s="401">
        <v>0</v>
      </c>
      <c r="H27" s="401">
        <v>0</v>
      </c>
      <c r="I27" s="401">
        <v>0</v>
      </c>
      <c r="J27" s="402">
        <f>SUM(C27:I27)</f>
        <v>28325</v>
      </c>
    </row>
    <row r="28" spans="1:10" ht="11.25" customHeight="1">
      <c r="A28" s="400"/>
      <c r="B28" s="64" t="s">
        <v>436</v>
      </c>
      <c r="C28" s="401">
        <f>2640+2816</f>
        <v>5456</v>
      </c>
      <c r="D28" s="401">
        <f>175+21+23+394</f>
        <v>613</v>
      </c>
      <c r="E28" s="401">
        <v>0</v>
      </c>
      <c r="F28" s="401">
        <f>5!N22-4!I28-4!D28-4!C28</f>
        <v>21234</v>
      </c>
      <c r="G28" s="401">
        <v>0</v>
      </c>
      <c r="H28" s="401">
        <v>0</v>
      </c>
      <c r="I28" s="401">
        <v>0</v>
      </c>
      <c r="J28" s="402">
        <f>SUM(C28:I28)</f>
        <v>27303</v>
      </c>
    </row>
    <row r="29" spans="1:10" ht="19.5" customHeight="1">
      <c r="A29" s="400" t="s">
        <v>117</v>
      </c>
      <c r="B29" s="403" t="s">
        <v>230</v>
      </c>
      <c r="C29" s="401"/>
      <c r="D29" s="401"/>
      <c r="E29" s="401"/>
      <c r="F29" s="401"/>
      <c r="G29" s="401"/>
      <c r="H29" s="401"/>
      <c r="I29" s="401"/>
      <c r="J29" s="402"/>
    </row>
    <row r="30" spans="1:10" ht="15" customHeight="1">
      <c r="A30" s="400"/>
      <c r="B30" s="64" t="s">
        <v>434</v>
      </c>
      <c r="C30" s="401">
        <v>1025</v>
      </c>
      <c r="D30" s="401">
        <v>0</v>
      </c>
      <c r="E30" s="401">
        <v>0</v>
      </c>
      <c r="F30" s="401">
        <v>30639</v>
      </c>
      <c r="G30" s="401">
        <v>0</v>
      </c>
      <c r="H30" s="401">
        <v>0</v>
      </c>
      <c r="I30" s="401">
        <v>0</v>
      </c>
      <c r="J30" s="402">
        <f>SUM(C30:I30)</f>
        <v>31664</v>
      </c>
    </row>
    <row r="31" spans="1:10" ht="15.75" customHeight="1">
      <c r="A31" s="400"/>
      <c r="B31" s="64" t="s">
        <v>435</v>
      </c>
      <c r="C31" s="401">
        <v>925</v>
      </c>
      <c r="D31" s="401">
        <v>253</v>
      </c>
      <c r="E31" s="401">
        <v>150</v>
      </c>
      <c r="F31" s="401">
        <v>30642</v>
      </c>
      <c r="G31" s="401">
        <v>0</v>
      </c>
      <c r="H31" s="401">
        <v>0</v>
      </c>
      <c r="I31" s="401">
        <v>0</v>
      </c>
      <c r="J31" s="402">
        <f>SUM(C31:I31)</f>
        <v>31970</v>
      </c>
    </row>
    <row r="32" spans="1:10" ht="12" customHeight="1">
      <c r="A32" s="400"/>
      <c r="B32" s="64" t="s">
        <v>436</v>
      </c>
      <c r="C32" s="401">
        <f>627</f>
        <v>627</v>
      </c>
      <c r="D32" s="401">
        <f>29+53+545</f>
        <v>627</v>
      </c>
      <c r="E32" s="401">
        <f>19+150</f>
        <v>169</v>
      </c>
      <c r="F32" s="401">
        <f>5!N26-4!I32-4!E32-4!D32-4!C32</f>
        <v>29768</v>
      </c>
      <c r="G32" s="401">
        <v>0</v>
      </c>
      <c r="H32" s="401">
        <v>0</v>
      </c>
      <c r="I32" s="401">
        <v>0</v>
      </c>
      <c r="J32" s="402">
        <f>SUM(C32:I32)</f>
        <v>31191</v>
      </c>
    </row>
    <row r="33" spans="1:10" ht="24" customHeight="1">
      <c r="A33" s="400" t="s">
        <v>119</v>
      </c>
      <c r="B33" s="403" t="s">
        <v>248</v>
      </c>
      <c r="C33" s="401"/>
      <c r="D33" s="401"/>
      <c r="E33" s="401"/>
      <c r="F33" s="401"/>
      <c r="G33" s="401"/>
      <c r="H33" s="401"/>
      <c r="I33" s="401"/>
      <c r="J33" s="402"/>
    </row>
    <row r="34" spans="1:10" ht="12.75" customHeight="1">
      <c r="A34" s="400"/>
      <c r="B34" s="64" t="s">
        <v>434</v>
      </c>
      <c r="C34" s="401">
        <v>2695</v>
      </c>
      <c r="D34" s="401">
        <v>430</v>
      </c>
      <c r="E34" s="401">
        <v>0</v>
      </c>
      <c r="F34" s="401">
        <v>20799</v>
      </c>
      <c r="G34" s="401">
        <v>0</v>
      </c>
      <c r="H34" s="401">
        <v>0</v>
      </c>
      <c r="I34" s="401">
        <v>0</v>
      </c>
      <c r="J34" s="402">
        <f>SUM(C34:I34)</f>
        <v>23924</v>
      </c>
    </row>
    <row r="35" spans="1:10" ht="15" customHeight="1">
      <c r="A35" s="400"/>
      <c r="B35" s="64" t="s">
        <v>435</v>
      </c>
      <c r="C35" s="401">
        <v>3430</v>
      </c>
      <c r="D35" s="401">
        <v>1203</v>
      </c>
      <c r="E35" s="401">
        <v>914</v>
      </c>
      <c r="F35" s="401">
        <v>21277</v>
      </c>
      <c r="G35" s="401">
        <v>0</v>
      </c>
      <c r="H35" s="401">
        <v>0</v>
      </c>
      <c r="I35" s="401">
        <v>362</v>
      </c>
      <c r="J35" s="402">
        <f>SUM(C35:I35)</f>
        <v>27186</v>
      </c>
    </row>
    <row r="36" spans="1:10" ht="12.75" customHeight="1">
      <c r="A36" s="400"/>
      <c r="B36" s="64" t="s">
        <v>436</v>
      </c>
      <c r="C36" s="401">
        <v>3579</v>
      </c>
      <c r="D36" s="401">
        <f>491+530+116</f>
        <v>1137</v>
      </c>
      <c r="E36" s="401">
        <v>900</v>
      </c>
      <c r="F36" s="401">
        <f>5!N30-4!I36-4!E36-4!D36-4!C36</f>
        <v>17459</v>
      </c>
      <c r="G36" s="401">
        <v>0</v>
      </c>
      <c r="H36" s="401">
        <v>0</v>
      </c>
      <c r="I36" s="401">
        <v>362</v>
      </c>
      <c r="J36" s="402">
        <f>SUM(C36:I36)</f>
        <v>23437</v>
      </c>
    </row>
    <row r="37" spans="1:10" ht="24" customHeight="1">
      <c r="A37" s="400" t="s">
        <v>121</v>
      </c>
      <c r="B37" s="403" t="s">
        <v>249</v>
      </c>
      <c r="C37" s="401"/>
      <c r="D37" s="401"/>
      <c r="E37" s="401"/>
      <c r="F37" s="401"/>
      <c r="G37" s="401"/>
      <c r="H37" s="401"/>
      <c r="I37" s="401"/>
      <c r="J37" s="402"/>
    </row>
    <row r="38" spans="1:10" ht="14.25" customHeight="1">
      <c r="A38" s="395"/>
      <c r="B38" s="64" t="s">
        <v>434</v>
      </c>
      <c r="C38" s="401">
        <v>0</v>
      </c>
      <c r="D38" s="401">
        <v>2315</v>
      </c>
      <c r="E38" s="401">
        <v>20</v>
      </c>
      <c r="F38" s="401">
        <v>178182</v>
      </c>
      <c r="G38" s="401">
        <v>0</v>
      </c>
      <c r="H38" s="401">
        <v>0</v>
      </c>
      <c r="I38" s="401">
        <v>0</v>
      </c>
      <c r="J38" s="402">
        <f>SUM(C38:I38)</f>
        <v>180517</v>
      </c>
    </row>
    <row r="39" spans="1:10" ht="12" customHeight="1">
      <c r="A39" s="400"/>
      <c r="B39" s="64" t="s">
        <v>435</v>
      </c>
      <c r="C39" s="401">
        <v>0</v>
      </c>
      <c r="D39" s="401">
        <v>1715</v>
      </c>
      <c r="E39" s="401">
        <v>89</v>
      </c>
      <c r="F39" s="401">
        <v>184807</v>
      </c>
      <c r="G39" s="401">
        <v>0</v>
      </c>
      <c r="H39" s="401">
        <v>0</v>
      </c>
      <c r="I39" s="401">
        <v>60</v>
      </c>
      <c r="J39" s="402">
        <f>SUM(C39:I39)</f>
        <v>186671</v>
      </c>
    </row>
    <row r="40" spans="1:10" ht="10.5" customHeight="1">
      <c r="A40" s="400"/>
      <c r="B40" s="64" t="s">
        <v>436</v>
      </c>
      <c r="C40" s="401">
        <v>0</v>
      </c>
      <c r="D40" s="401">
        <v>1935</v>
      </c>
      <c r="E40" s="401">
        <v>135</v>
      </c>
      <c r="F40" s="401">
        <f>5!N34-4!E40-4!D40-I40</f>
        <v>178438</v>
      </c>
      <c r="G40" s="401">
        <v>0</v>
      </c>
      <c r="H40" s="401">
        <v>0</v>
      </c>
      <c r="I40" s="401">
        <v>60</v>
      </c>
      <c r="J40" s="402">
        <f>SUM(C40:I40)</f>
        <v>180568</v>
      </c>
    </row>
    <row r="41" spans="1:10" ht="13.5" thickBot="1">
      <c r="A41" s="404"/>
      <c r="B41" s="405"/>
      <c r="C41" s="406"/>
      <c r="D41" s="406"/>
      <c r="E41" s="406"/>
      <c r="F41" s="406"/>
      <c r="G41" s="406"/>
      <c r="H41" s="406"/>
      <c r="I41" s="406"/>
      <c r="J41" s="407"/>
    </row>
    <row r="42" spans="1:10" ht="24" thickBot="1" thickTop="1">
      <c r="A42" s="408"/>
      <c r="B42" s="409" t="s">
        <v>487</v>
      </c>
      <c r="C42" s="410"/>
      <c r="D42" s="410"/>
      <c r="E42" s="410"/>
      <c r="F42" s="410"/>
      <c r="G42" s="410"/>
      <c r="H42" s="410"/>
      <c r="I42" s="410"/>
      <c r="J42" s="411"/>
    </row>
    <row r="43" spans="1:10" s="44" customFormat="1" ht="13.5" thickTop="1">
      <c r="A43" s="412"/>
      <c r="B43" s="78" t="s">
        <v>434</v>
      </c>
      <c r="C43" s="413">
        <f>C14+C18+C22+C26+C30+C34+C38</f>
        <v>24347</v>
      </c>
      <c r="D43" s="413">
        <f aca="true" t="shared" si="0" ref="D43:I43">D14+D18+D22+D26+D30+D34+D38</f>
        <v>11599</v>
      </c>
      <c r="E43" s="413">
        <f t="shared" si="0"/>
        <v>20</v>
      </c>
      <c r="F43" s="413">
        <f t="shared" si="0"/>
        <v>452229</v>
      </c>
      <c r="G43" s="413">
        <f t="shared" si="0"/>
        <v>34841</v>
      </c>
      <c r="H43" s="413">
        <f t="shared" si="0"/>
        <v>0</v>
      </c>
      <c r="I43" s="413">
        <f t="shared" si="0"/>
        <v>0</v>
      </c>
      <c r="J43" s="414">
        <f>SUM(C43:I43)</f>
        <v>523036</v>
      </c>
    </row>
    <row r="44" spans="1:10" s="44" customFormat="1" ht="12.75">
      <c r="A44" s="415"/>
      <c r="B44" s="64" t="s">
        <v>435</v>
      </c>
      <c r="C44" s="413">
        <f aca="true" t="shared" si="1" ref="C44:I45">C15+C19+C23+C27+C31+C35+C39</f>
        <v>26082</v>
      </c>
      <c r="D44" s="413">
        <f t="shared" si="1"/>
        <v>12375</v>
      </c>
      <c r="E44" s="413">
        <f t="shared" si="1"/>
        <v>1153</v>
      </c>
      <c r="F44" s="413">
        <f t="shared" si="1"/>
        <v>460866</v>
      </c>
      <c r="G44" s="413">
        <f t="shared" si="1"/>
        <v>34841</v>
      </c>
      <c r="H44" s="413">
        <f t="shared" si="1"/>
        <v>0</v>
      </c>
      <c r="I44" s="413">
        <f t="shared" si="1"/>
        <v>422</v>
      </c>
      <c r="J44" s="414">
        <f>SUM(C44:I44)</f>
        <v>535739</v>
      </c>
    </row>
    <row r="45" spans="1:10" s="44" customFormat="1" ht="13.5" thickBot="1">
      <c r="A45" s="416"/>
      <c r="B45" s="72" t="s">
        <v>436</v>
      </c>
      <c r="C45" s="443">
        <f t="shared" si="1"/>
        <v>29075</v>
      </c>
      <c r="D45" s="443">
        <f t="shared" si="1"/>
        <v>13339</v>
      </c>
      <c r="E45" s="443">
        <f t="shared" si="1"/>
        <v>1204</v>
      </c>
      <c r="F45" s="443">
        <f t="shared" si="1"/>
        <v>426813</v>
      </c>
      <c r="G45" s="443">
        <f t="shared" si="1"/>
        <v>34790</v>
      </c>
      <c r="H45" s="443">
        <f t="shared" si="1"/>
        <v>0</v>
      </c>
      <c r="I45" s="443">
        <f t="shared" si="1"/>
        <v>422</v>
      </c>
      <c r="J45" s="444">
        <f>SUM(C45:I45)</f>
        <v>505643</v>
      </c>
    </row>
    <row r="46" spans="3:7" ht="12.75">
      <c r="C46" s="1153"/>
      <c r="D46" s="1153"/>
      <c r="E46" s="1153"/>
      <c r="G46" s="418"/>
    </row>
    <row r="48" ht="12.75">
      <c r="E48" s="418"/>
    </row>
  </sheetData>
  <sheetProtection/>
  <mergeCells count="5">
    <mergeCell ref="C9:E10"/>
    <mergeCell ref="H9:I10"/>
    <mergeCell ref="H11:H12"/>
    <mergeCell ref="I11:I12"/>
    <mergeCell ref="F9:F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9"/>
  <sheetViews>
    <sheetView view="pageBreakPreview" zoomScale="130" zoomScaleSheetLayoutView="130" zoomScalePageLayoutView="0" workbookViewId="0" topLeftCell="A546">
      <selection activeCell="H576" sqref="H576"/>
    </sheetView>
  </sheetViews>
  <sheetFormatPr defaultColWidth="9.00390625" defaultRowHeight="12" customHeight="1"/>
  <cols>
    <col min="1" max="2" width="3.125" style="100" customWidth="1"/>
    <col min="3" max="3" width="41.00390625" style="59" customWidth="1"/>
    <col min="4" max="4" width="10.25390625" style="876" customWidth="1"/>
    <col min="5" max="5" width="10.75390625" style="876" customWidth="1"/>
    <col min="6" max="6" width="12.75390625" style="876" customWidth="1"/>
    <col min="7" max="16384" width="9.125" style="12" customWidth="1"/>
  </cols>
  <sheetData>
    <row r="1" spans="1:6" ht="12" customHeight="1">
      <c r="A1" s="329"/>
      <c r="B1" s="329"/>
      <c r="C1" s="101"/>
      <c r="D1" s="868"/>
      <c r="E1" s="868"/>
      <c r="F1" s="868"/>
    </row>
    <row r="2" spans="1:6" ht="12.75" customHeight="1">
      <c r="A2" s="329"/>
      <c r="B2" s="329"/>
      <c r="C2" s="101"/>
      <c r="D2" s="868"/>
      <c r="E2" s="868"/>
      <c r="F2" s="868"/>
    </row>
    <row r="3" spans="1:6" ht="10.5" customHeight="1" thickBot="1">
      <c r="A3" s="102"/>
      <c r="B3" s="102"/>
      <c r="C3" s="330"/>
      <c r="D3" s="331"/>
      <c r="E3" s="331"/>
      <c r="F3" s="331" t="s">
        <v>163</v>
      </c>
    </row>
    <row r="4" spans="1:6" ht="12" customHeight="1">
      <c r="A4" s="1294" t="s">
        <v>164</v>
      </c>
      <c r="B4" s="1295"/>
      <c r="C4" s="1295"/>
      <c r="D4" s="103" t="s">
        <v>135</v>
      </c>
      <c r="E4" s="103" t="s">
        <v>136</v>
      </c>
      <c r="F4" s="1283" t="s">
        <v>108</v>
      </c>
    </row>
    <row r="5" spans="1:6" ht="12" customHeight="1" thickBot="1">
      <c r="A5" s="1296"/>
      <c r="B5" s="1297"/>
      <c r="C5" s="1297"/>
      <c r="D5" s="106" t="s">
        <v>138</v>
      </c>
      <c r="E5" s="106" t="s">
        <v>138</v>
      </c>
      <c r="F5" s="1284"/>
    </row>
    <row r="6" spans="1:6" ht="12" customHeight="1" thickBot="1">
      <c r="A6" s="1285" t="s">
        <v>165</v>
      </c>
      <c r="B6" s="1286"/>
      <c r="C6" s="1286"/>
      <c r="D6" s="1286"/>
      <c r="E6" s="1286"/>
      <c r="F6" s="1287"/>
    </row>
    <row r="7" spans="1:6" s="13" customFormat="1" ht="12" customHeight="1">
      <c r="A7" s="332" t="s">
        <v>166</v>
      </c>
      <c r="B7" s="333"/>
      <c r="C7" s="69" t="s">
        <v>167</v>
      </c>
      <c r="D7" s="869"/>
      <c r="E7" s="869"/>
      <c r="F7" s="870"/>
    </row>
    <row r="8" spans="1:6" ht="10.5" customHeight="1">
      <c r="A8" s="334"/>
      <c r="B8" s="335" t="s">
        <v>109</v>
      </c>
      <c r="C8" s="336" t="s">
        <v>168</v>
      </c>
      <c r="D8" s="117"/>
      <c r="E8" s="117"/>
      <c r="F8" s="131"/>
    </row>
    <row r="9" spans="1:6" ht="10.5" customHeight="1">
      <c r="A9" s="334"/>
      <c r="B9" s="335"/>
      <c r="C9" s="64" t="s">
        <v>434</v>
      </c>
      <c r="D9" s="117">
        <f>4!C43+4!D43</f>
        <v>35946</v>
      </c>
      <c r="E9" s="117">
        <f>4!E43</f>
        <v>20</v>
      </c>
      <c r="F9" s="131">
        <f>SUM(D9:E9)</f>
        <v>35966</v>
      </c>
    </row>
    <row r="10" spans="1:6" ht="10.5" customHeight="1">
      <c r="A10" s="334"/>
      <c r="B10" s="335"/>
      <c r="C10" s="64" t="s">
        <v>435</v>
      </c>
      <c r="D10" s="117">
        <f>4!C44+4!D44</f>
        <v>38457</v>
      </c>
      <c r="E10" s="117">
        <f>4!E44</f>
        <v>1153</v>
      </c>
      <c r="F10" s="131">
        <f>SUM(D10:E10)</f>
        <v>39610</v>
      </c>
    </row>
    <row r="11" spans="1:6" ht="10.5" customHeight="1">
      <c r="A11" s="334"/>
      <c r="B11" s="335"/>
      <c r="C11" s="64" t="s">
        <v>436</v>
      </c>
      <c r="D11" s="117">
        <f>4!C45+4!D45</f>
        <v>42414</v>
      </c>
      <c r="E11" s="117">
        <f>4!E45</f>
        <v>1204</v>
      </c>
      <c r="F11" s="131">
        <f>SUM(D11:E11)</f>
        <v>43618</v>
      </c>
    </row>
    <row r="12" spans="1:6" ht="10.5" customHeight="1">
      <c r="A12" s="334"/>
      <c r="B12" s="335" t="s">
        <v>111</v>
      </c>
      <c r="C12" s="116" t="s">
        <v>423</v>
      </c>
      <c r="D12" s="117"/>
      <c r="E12" s="117"/>
      <c r="F12" s="131"/>
    </row>
    <row r="13" spans="1:6" ht="10.5" customHeight="1">
      <c r="A13" s="334"/>
      <c r="B13" s="335"/>
      <c r="C13" s="64" t="s">
        <v>434</v>
      </c>
      <c r="D13" s="117">
        <f>4!G43</f>
        <v>34841</v>
      </c>
      <c r="E13" s="117"/>
      <c r="F13" s="131">
        <f>SUM(D13:E13)</f>
        <v>34841</v>
      </c>
    </row>
    <row r="14" spans="1:6" ht="10.5" customHeight="1">
      <c r="A14" s="334"/>
      <c r="B14" s="335"/>
      <c r="C14" s="64" t="s">
        <v>435</v>
      </c>
      <c r="D14" s="117">
        <f>4!G44</f>
        <v>34841</v>
      </c>
      <c r="E14" s="117"/>
      <c r="F14" s="131">
        <f>SUM(D14:E14)</f>
        <v>34841</v>
      </c>
    </row>
    <row r="15" spans="1:6" ht="10.5" customHeight="1">
      <c r="A15" s="334"/>
      <c r="B15" s="335"/>
      <c r="C15" s="64" t="s">
        <v>436</v>
      </c>
      <c r="D15" s="117">
        <f>4!G45</f>
        <v>34790</v>
      </c>
      <c r="E15" s="117"/>
      <c r="F15" s="131">
        <f>SUM(D15:E15)</f>
        <v>34790</v>
      </c>
    </row>
    <row r="16" spans="1:6" ht="10.5" customHeight="1">
      <c r="A16" s="334"/>
      <c r="B16" s="335" t="s">
        <v>113</v>
      </c>
      <c r="C16" s="116" t="s">
        <v>424</v>
      </c>
      <c r="D16" s="117"/>
      <c r="E16" s="117"/>
      <c r="F16" s="131"/>
    </row>
    <row r="17" spans="1:6" ht="10.5" customHeight="1">
      <c r="A17" s="334"/>
      <c r="B17" s="335"/>
      <c r="C17" s="64" t="s">
        <v>434</v>
      </c>
      <c r="D17" s="117"/>
      <c r="E17" s="117"/>
      <c r="F17" s="131"/>
    </row>
    <row r="18" spans="1:6" ht="10.5" customHeight="1">
      <c r="A18" s="334"/>
      <c r="B18" s="335"/>
      <c r="C18" s="64" t="s">
        <v>435</v>
      </c>
      <c r="D18" s="117">
        <f>4!H44</f>
        <v>0</v>
      </c>
      <c r="E18" s="117">
        <f>4!I44</f>
        <v>422</v>
      </c>
      <c r="F18" s="131">
        <f>SUM(D18:E18)</f>
        <v>422</v>
      </c>
    </row>
    <row r="19" spans="1:6" ht="10.5" customHeight="1" thickBot="1">
      <c r="A19" s="337"/>
      <c r="B19" s="338"/>
      <c r="C19" s="78" t="s">
        <v>436</v>
      </c>
      <c r="D19" s="146">
        <f>4!H45</f>
        <v>0</v>
      </c>
      <c r="E19" s="146">
        <f>4!I45</f>
        <v>422</v>
      </c>
      <c r="F19" s="871">
        <f>SUM(D19:E19)</f>
        <v>422</v>
      </c>
    </row>
    <row r="20" spans="1:6" s="14" customFormat="1" ht="12" customHeight="1" thickBot="1" thickTop="1">
      <c r="A20" s="339"/>
      <c r="B20" s="340"/>
      <c r="C20" s="341" t="s">
        <v>484</v>
      </c>
      <c r="D20" s="188"/>
      <c r="E20" s="188"/>
      <c r="F20" s="189"/>
    </row>
    <row r="21" spans="1:6" s="14" customFormat="1" ht="12" customHeight="1" thickTop="1">
      <c r="A21" s="342"/>
      <c r="B21" s="343"/>
      <c r="C21" s="249" t="s">
        <v>434</v>
      </c>
      <c r="D21" s="866">
        <f>D9+D13+D17</f>
        <v>70787</v>
      </c>
      <c r="E21" s="866">
        <f>E9+E13+E17</f>
        <v>20</v>
      </c>
      <c r="F21" s="867">
        <f>F9+F13+F17</f>
        <v>70807</v>
      </c>
    </row>
    <row r="22" spans="1:6" s="14" customFormat="1" ht="12" customHeight="1">
      <c r="A22" s="344"/>
      <c r="B22" s="345"/>
      <c r="C22" s="67" t="s">
        <v>435</v>
      </c>
      <c r="D22" s="130">
        <f aca="true" t="shared" si="0" ref="D22:F23">D10+D14+D18</f>
        <v>73298</v>
      </c>
      <c r="E22" s="130">
        <f t="shared" si="0"/>
        <v>1575</v>
      </c>
      <c r="F22" s="131">
        <f t="shared" si="0"/>
        <v>74873</v>
      </c>
    </row>
    <row r="23" spans="1:6" s="14" customFormat="1" ht="12" customHeight="1">
      <c r="A23" s="344"/>
      <c r="B23" s="345"/>
      <c r="C23" s="67" t="s">
        <v>436</v>
      </c>
      <c r="D23" s="130">
        <f t="shared" si="0"/>
        <v>77204</v>
      </c>
      <c r="E23" s="130">
        <f t="shared" si="0"/>
        <v>1626</v>
      </c>
      <c r="F23" s="131">
        <f t="shared" si="0"/>
        <v>78830</v>
      </c>
    </row>
    <row r="24" spans="1:6" s="13" customFormat="1" ht="11.25" customHeight="1">
      <c r="A24" s="344" t="s">
        <v>169</v>
      </c>
      <c r="B24" s="345"/>
      <c r="C24" s="174" t="s">
        <v>170</v>
      </c>
      <c r="D24" s="872"/>
      <c r="E24" s="872"/>
      <c r="F24" s="873"/>
    </row>
    <row r="25" spans="1:6" s="14" customFormat="1" ht="10.5" customHeight="1">
      <c r="A25" s="344" t="s">
        <v>140</v>
      </c>
      <c r="B25" s="345"/>
      <c r="C25" s="174" t="s">
        <v>171</v>
      </c>
      <c r="D25" s="130"/>
      <c r="E25" s="130"/>
      <c r="F25" s="131"/>
    </row>
    <row r="26" spans="1:6" ht="10.5" customHeight="1">
      <c r="A26" s="334"/>
      <c r="B26" s="335" t="s">
        <v>109</v>
      </c>
      <c r="C26" s="116" t="s">
        <v>172</v>
      </c>
      <c r="D26" s="117"/>
      <c r="E26" s="117"/>
      <c r="F26" s="131"/>
    </row>
    <row r="27" spans="1:6" ht="10.5" customHeight="1">
      <c r="A27" s="334"/>
      <c r="B27" s="335"/>
      <c r="C27" s="64" t="s">
        <v>434</v>
      </c>
      <c r="D27" s="117">
        <v>9400</v>
      </c>
      <c r="E27" s="117"/>
      <c r="F27" s="131">
        <f>SUM(D27:E27)</f>
        <v>9400</v>
      </c>
    </row>
    <row r="28" spans="1:6" ht="10.5" customHeight="1">
      <c r="A28" s="334"/>
      <c r="B28" s="335"/>
      <c r="C28" s="64" t="s">
        <v>435</v>
      </c>
      <c r="D28" s="117">
        <v>9400</v>
      </c>
      <c r="E28" s="117"/>
      <c r="F28" s="131">
        <f>SUM(D28:E28)</f>
        <v>9400</v>
      </c>
    </row>
    <row r="29" spans="1:6" ht="10.5" customHeight="1">
      <c r="A29" s="334"/>
      <c r="B29" s="335"/>
      <c r="C29" s="64" t="s">
        <v>436</v>
      </c>
      <c r="D29" s="117">
        <f>8861+50</f>
        <v>8911</v>
      </c>
      <c r="E29" s="117"/>
      <c r="F29" s="131">
        <f>SUM(D29:E29)</f>
        <v>8911</v>
      </c>
    </row>
    <row r="30" spans="1:6" ht="10.5" customHeight="1">
      <c r="A30" s="334"/>
      <c r="B30" s="335" t="s">
        <v>111</v>
      </c>
      <c r="C30" s="116" t="s">
        <v>173</v>
      </c>
      <c r="D30" s="117"/>
      <c r="E30" s="117"/>
      <c r="F30" s="131"/>
    </row>
    <row r="31" spans="1:6" ht="10.5" customHeight="1">
      <c r="A31" s="334"/>
      <c r="B31" s="335"/>
      <c r="C31" s="64" t="s">
        <v>434</v>
      </c>
      <c r="D31" s="117">
        <v>3354</v>
      </c>
      <c r="E31" s="117"/>
      <c r="F31" s="131">
        <f>SUM(D31:E31)</f>
        <v>3354</v>
      </c>
    </row>
    <row r="32" spans="1:6" ht="10.5" customHeight="1">
      <c r="A32" s="334"/>
      <c r="B32" s="335"/>
      <c r="C32" s="64" t="s">
        <v>435</v>
      </c>
      <c r="D32" s="117">
        <v>3354</v>
      </c>
      <c r="E32" s="117"/>
      <c r="F32" s="131">
        <f>SUM(D32:E32)</f>
        <v>3354</v>
      </c>
    </row>
    <row r="33" spans="1:6" ht="10.5" customHeight="1">
      <c r="A33" s="334"/>
      <c r="B33" s="335"/>
      <c r="C33" s="64" t="s">
        <v>436</v>
      </c>
      <c r="D33" s="117">
        <v>3500</v>
      </c>
      <c r="E33" s="117"/>
      <c r="F33" s="131">
        <f>SUM(D33:E33)</f>
        <v>3500</v>
      </c>
    </row>
    <row r="34" spans="1:6" ht="10.5" customHeight="1">
      <c r="A34" s="334"/>
      <c r="B34" s="335" t="s">
        <v>113</v>
      </c>
      <c r="C34" s="116" t="s">
        <v>174</v>
      </c>
      <c r="D34" s="117"/>
      <c r="E34" s="117"/>
      <c r="F34" s="131"/>
    </row>
    <row r="35" spans="1:6" ht="10.5" customHeight="1">
      <c r="A35" s="334"/>
      <c r="B35" s="335"/>
      <c r="C35" s="64" t="s">
        <v>434</v>
      </c>
      <c r="D35" s="117">
        <v>22312</v>
      </c>
      <c r="E35" s="117"/>
      <c r="F35" s="131">
        <f>SUM(D35:E35)</f>
        <v>22312</v>
      </c>
    </row>
    <row r="36" spans="1:6" ht="10.5" customHeight="1">
      <c r="A36" s="334"/>
      <c r="B36" s="335"/>
      <c r="C36" s="64" t="s">
        <v>435</v>
      </c>
      <c r="D36" s="117">
        <v>22312</v>
      </c>
      <c r="E36" s="117"/>
      <c r="F36" s="131">
        <f>SUM(D36:E36)</f>
        <v>22312</v>
      </c>
    </row>
    <row r="37" spans="1:6" ht="10.5" customHeight="1">
      <c r="A37" s="334"/>
      <c r="B37" s="335"/>
      <c r="C37" s="64" t="s">
        <v>436</v>
      </c>
      <c r="D37" s="117">
        <f>-9500+33252-613</f>
        <v>23139</v>
      </c>
      <c r="E37" s="117"/>
      <c r="F37" s="131">
        <f>SUM(D37:E37)</f>
        <v>23139</v>
      </c>
    </row>
    <row r="38" spans="1:6" ht="10.5" customHeight="1">
      <c r="A38" s="334"/>
      <c r="B38" s="335" t="s">
        <v>115</v>
      </c>
      <c r="C38" s="116" t="s">
        <v>175</v>
      </c>
      <c r="D38" s="117"/>
      <c r="E38" s="117"/>
      <c r="F38" s="131"/>
    </row>
    <row r="39" spans="1:6" ht="10.5" customHeight="1">
      <c r="A39" s="334"/>
      <c r="B39" s="335"/>
      <c r="C39" s="64" t="s">
        <v>434</v>
      </c>
      <c r="D39" s="117">
        <v>7564</v>
      </c>
      <c r="E39" s="117"/>
      <c r="F39" s="131">
        <f>SUM(D39:E39)</f>
        <v>7564</v>
      </c>
    </row>
    <row r="40" spans="1:6" ht="10.5" customHeight="1">
      <c r="A40" s="334"/>
      <c r="B40" s="335"/>
      <c r="C40" s="64" t="s">
        <v>435</v>
      </c>
      <c r="D40" s="117">
        <v>7564</v>
      </c>
      <c r="E40" s="117"/>
      <c r="F40" s="131">
        <f>SUM(D40:E40)</f>
        <v>7564</v>
      </c>
    </row>
    <row r="41" spans="1:6" ht="10.5" customHeight="1">
      <c r="A41" s="334"/>
      <c r="B41" s="335"/>
      <c r="C41" s="64" t="s">
        <v>436</v>
      </c>
      <c r="D41" s="117">
        <v>8078</v>
      </c>
      <c r="E41" s="117"/>
      <c r="F41" s="131">
        <f>SUM(D41:E41)</f>
        <v>8078</v>
      </c>
    </row>
    <row r="42" spans="1:6" ht="10.5" customHeight="1">
      <c r="A42" s="334"/>
      <c r="B42" s="335" t="s">
        <v>117</v>
      </c>
      <c r="C42" s="116" t="s">
        <v>176</v>
      </c>
      <c r="D42" s="117"/>
      <c r="E42" s="117"/>
      <c r="F42" s="131"/>
    </row>
    <row r="43" spans="1:6" ht="10.5" customHeight="1">
      <c r="A43" s="334"/>
      <c r="B43" s="335"/>
      <c r="C43" s="64" t="s">
        <v>434</v>
      </c>
      <c r="D43" s="117">
        <v>8816</v>
      </c>
      <c r="E43" s="117"/>
      <c r="F43" s="131">
        <f>SUM(D43:E43)</f>
        <v>8816</v>
      </c>
    </row>
    <row r="44" spans="1:6" ht="10.5" customHeight="1">
      <c r="A44" s="334"/>
      <c r="B44" s="335"/>
      <c r="C44" s="64" t="s">
        <v>435</v>
      </c>
      <c r="D44" s="117">
        <v>9703</v>
      </c>
      <c r="E44" s="117">
        <v>1952</v>
      </c>
      <c r="F44" s="131">
        <f>SUM(D44:E44)</f>
        <v>11655</v>
      </c>
    </row>
    <row r="45" spans="1:6" ht="10.5" customHeight="1">
      <c r="A45" s="334"/>
      <c r="B45" s="335"/>
      <c r="C45" s="64" t="s">
        <v>436</v>
      </c>
      <c r="D45" s="117">
        <f>18169-1952+1952</f>
        <v>18169</v>
      </c>
      <c r="E45" s="117">
        <f>1952-1952</f>
        <v>0</v>
      </c>
      <c r="F45" s="131">
        <f>SUM(D45:E45)</f>
        <v>18169</v>
      </c>
    </row>
    <row r="46" spans="1:6" ht="10.5" customHeight="1">
      <c r="A46" s="334"/>
      <c r="B46" s="335" t="s">
        <v>119</v>
      </c>
      <c r="C46" s="116" t="s">
        <v>490</v>
      </c>
      <c r="D46" s="117"/>
      <c r="E46" s="117"/>
      <c r="F46" s="131"/>
    </row>
    <row r="47" spans="1:6" ht="10.5" customHeight="1">
      <c r="A47" s="334"/>
      <c r="B47" s="335"/>
      <c r="C47" s="64" t="s">
        <v>434</v>
      </c>
      <c r="D47" s="117">
        <v>5167</v>
      </c>
      <c r="E47" s="117"/>
      <c r="F47" s="131">
        <f>SUM(D47:E47)</f>
        <v>5167</v>
      </c>
    </row>
    <row r="48" spans="1:6" ht="10.5" customHeight="1">
      <c r="A48" s="334"/>
      <c r="B48" s="335"/>
      <c r="C48" s="64" t="s">
        <v>435</v>
      </c>
      <c r="D48" s="117">
        <v>6200</v>
      </c>
      <c r="E48" s="117"/>
      <c r="F48" s="131">
        <f>SUM(D48:E48)</f>
        <v>6200</v>
      </c>
    </row>
    <row r="49" spans="1:6" ht="10.5" customHeight="1">
      <c r="A49" s="334"/>
      <c r="B49" s="335"/>
      <c r="C49" s="64" t="s">
        <v>436</v>
      </c>
      <c r="D49" s="117">
        <v>6070</v>
      </c>
      <c r="E49" s="117"/>
      <c r="F49" s="131">
        <f>SUM(D49:E49)</f>
        <v>6070</v>
      </c>
    </row>
    <row r="50" spans="1:6" ht="10.5" customHeight="1">
      <c r="A50" s="334"/>
      <c r="B50" s="335" t="s">
        <v>121</v>
      </c>
      <c r="C50" s="116" t="s">
        <v>177</v>
      </c>
      <c r="D50" s="117"/>
      <c r="E50" s="117"/>
      <c r="F50" s="131"/>
    </row>
    <row r="51" spans="1:6" ht="10.5" customHeight="1">
      <c r="A51" s="334"/>
      <c r="B51" s="335"/>
      <c r="C51" s="64" t="s">
        <v>434</v>
      </c>
      <c r="D51" s="117">
        <v>20</v>
      </c>
      <c r="E51" s="117"/>
      <c r="F51" s="131">
        <f>SUM(D51:E51)</f>
        <v>20</v>
      </c>
    </row>
    <row r="52" spans="1:6" ht="10.5" customHeight="1">
      <c r="A52" s="334"/>
      <c r="B52" s="335"/>
      <c r="C52" s="64" t="s">
        <v>435</v>
      </c>
      <c r="D52" s="117">
        <v>20</v>
      </c>
      <c r="E52" s="117"/>
      <c r="F52" s="131">
        <f>SUM(D52:E52)</f>
        <v>20</v>
      </c>
    </row>
    <row r="53" spans="1:6" ht="10.5" customHeight="1">
      <c r="A53" s="334"/>
      <c r="B53" s="335"/>
      <c r="C53" s="64" t="s">
        <v>436</v>
      </c>
      <c r="D53" s="117">
        <v>188</v>
      </c>
      <c r="E53" s="117"/>
      <c r="F53" s="131">
        <f>SUM(D53:E53)</f>
        <v>188</v>
      </c>
    </row>
    <row r="54" spans="1:6" ht="10.5" customHeight="1">
      <c r="A54" s="334"/>
      <c r="B54" s="335">
        <v>8</v>
      </c>
      <c r="C54" s="116" t="s">
        <v>178</v>
      </c>
      <c r="D54" s="117"/>
      <c r="E54" s="117"/>
      <c r="F54" s="131"/>
    </row>
    <row r="55" spans="1:6" ht="10.5" customHeight="1">
      <c r="A55" s="334"/>
      <c r="B55" s="335"/>
      <c r="C55" s="64" t="s">
        <v>434</v>
      </c>
      <c r="D55" s="117">
        <v>4652</v>
      </c>
      <c r="E55" s="117"/>
      <c r="F55" s="131">
        <f>SUM(D55:E55)</f>
        <v>4652</v>
      </c>
    </row>
    <row r="56" spans="1:6" ht="10.5" customHeight="1">
      <c r="A56" s="334"/>
      <c r="B56" s="335"/>
      <c r="C56" s="64" t="s">
        <v>435</v>
      </c>
      <c r="D56" s="117">
        <v>6452</v>
      </c>
      <c r="E56" s="117"/>
      <c r="F56" s="131">
        <f>SUM(D56:E56)</f>
        <v>6452</v>
      </c>
    </row>
    <row r="57" spans="1:6" ht="10.5" customHeight="1">
      <c r="A57" s="334"/>
      <c r="B57" s="335"/>
      <c r="C57" s="64" t="s">
        <v>436</v>
      </c>
      <c r="D57" s="117">
        <f>1992+8390-1952+1054</f>
        <v>9484</v>
      </c>
      <c r="E57" s="117"/>
      <c r="F57" s="131">
        <f>SUM(D57:E57)</f>
        <v>9484</v>
      </c>
    </row>
    <row r="58" spans="1:6" ht="10.5" customHeight="1">
      <c r="A58" s="334"/>
      <c r="B58" s="335">
        <v>9</v>
      </c>
      <c r="C58" s="116" t="s">
        <v>425</v>
      </c>
      <c r="D58" s="117"/>
      <c r="E58" s="117"/>
      <c r="F58" s="131"/>
    </row>
    <row r="59" spans="1:6" ht="10.5" customHeight="1">
      <c r="A59" s="334"/>
      <c r="B59" s="335"/>
      <c r="C59" s="64" t="s">
        <v>434</v>
      </c>
      <c r="D59" s="117">
        <v>116</v>
      </c>
      <c r="E59" s="117"/>
      <c r="F59" s="131">
        <f>SUM(D59:E59)</f>
        <v>116</v>
      </c>
    </row>
    <row r="60" spans="1:6" ht="10.5" customHeight="1">
      <c r="A60" s="334"/>
      <c r="B60" s="335"/>
      <c r="C60" s="64" t="s">
        <v>435</v>
      </c>
      <c r="D60" s="117">
        <v>116</v>
      </c>
      <c r="E60" s="117"/>
      <c r="F60" s="131">
        <f>SUM(D60:E60)</f>
        <v>116</v>
      </c>
    </row>
    <row r="61" spans="1:6" ht="10.5" customHeight="1">
      <c r="A61" s="334"/>
      <c r="B61" s="335"/>
      <c r="C61" s="64" t="s">
        <v>436</v>
      </c>
      <c r="D61" s="117">
        <v>34</v>
      </c>
      <c r="E61" s="117"/>
      <c r="F61" s="131">
        <f>SUM(D61:E61)</f>
        <v>34</v>
      </c>
    </row>
    <row r="62" spans="1:6" ht="10.5" customHeight="1">
      <c r="A62" s="334"/>
      <c r="B62" s="335">
        <v>10</v>
      </c>
      <c r="C62" s="433" t="s">
        <v>572</v>
      </c>
      <c r="D62" s="117"/>
      <c r="E62" s="117"/>
      <c r="F62" s="131"/>
    </row>
    <row r="63" spans="1:6" ht="10.5" customHeight="1">
      <c r="A63" s="334"/>
      <c r="B63" s="335"/>
      <c r="C63" s="64" t="s">
        <v>434</v>
      </c>
      <c r="D63" s="117">
        <v>26760</v>
      </c>
      <c r="E63" s="117"/>
      <c r="F63" s="131">
        <f>D63+E63</f>
        <v>26760</v>
      </c>
    </row>
    <row r="64" spans="1:6" ht="10.5" customHeight="1">
      <c r="A64" s="334"/>
      <c r="B64" s="335"/>
      <c r="C64" s="64" t="s">
        <v>435</v>
      </c>
      <c r="D64" s="117">
        <v>48686</v>
      </c>
      <c r="E64" s="117"/>
      <c r="F64" s="131">
        <f>D64+E64</f>
        <v>48686</v>
      </c>
    </row>
    <row r="65" spans="1:6" ht="10.5" customHeight="1">
      <c r="A65" s="334"/>
      <c r="B65" s="335"/>
      <c r="C65" s="64" t="s">
        <v>436</v>
      </c>
      <c r="D65" s="117">
        <v>63718</v>
      </c>
      <c r="E65" s="117"/>
      <c r="F65" s="131">
        <f>D65+E65</f>
        <v>63718</v>
      </c>
    </row>
    <row r="66" spans="1:6" ht="10.5" customHeight="1">
      <c r="A66" s="334"/>
      <c r="B66" s="335">
        <v>11</v>
      </c>
      <c r="C66" s="433" t="s">
        <v>688</v>
      </c>
      <c r="D66" s="117"/>
      <c r="E66" s="117"/>
      <c r="F66" s="131"/>
    </row>
    <row r="67" spans="1:6" ht="10.5" customHeight="1">
      <c r="A67" s="334"/>
      <c r="B67" s="335"/>
      <c r="C67" s="64" t="s">
        <v>434</v>
      </c>
      <c r="D67" s="117">
        <v>0</v>
      </c>
      <c r="E67" s="117"/>
      <c r="F67" s="131">
        <v>0</v>
      </c>
    </row>
    <row r="68" spans="1:6" ht="10.5" customHeight="1">
      <c r="A68" s="334"/>
      <c r="B68" s="335"/>
      <c r="C68" s="64" t="s">
        <v>435</v>
      </c>
      <c r="D68" s="117">
        <v>6414</v>
      </c>
      <c r="E68" s="117"/>
      <c r="F68" s="131">
        <f>D68</f>
        <v>6414</v>
      </c>
    </row>
    <row r="69" spans="1:6" ht="10.5" customHeight="1" thickBot="1">
      <c r="A69" s="346"/>
      <c r="B69" s="347"/>
      <c r="C69" s="432" t="s">
        <v>436</v>
      </c>
      <c r="D69" s="146">
        <f>72300-D65</f>
        <v>8582</v>
      </c>
      <c r="E69" s="146"/>
      <c r="F69" s="135">
        <f>D69</f>
        <v>8582</v>
      </c>
    </row>
    <row r="70" spans="1:6" s="14" customFormat="1" ht="12" customHeight="1" thickBot="1" thickTop="1">
      <c r="A70" s="349"/>
      <c r="B70" s="340"/>
      <c r="C70" s="341" t="s">
        <v>611</v>
      </c>
      <c r="D70" s="188"/>
      <c r="E70" s="188"/>
      <c r="F70" s="189"/>
    </row>
    <row r="71" spans="1:6" s="14" customFormat="1" ht="12" customHeight="1" thickTop="1">
      <c r="A71" s="350"/>
      <c r="B71" s="351"/>
      <c r="C71" s="67" t="s">
        <v>434</v>
      </c>
      <c r="D71" s="865">
        <f aca="true" t="shared" si="1" ref="D71:F73">D27+D31+D35+D39+D43+D47+D51+D55+D59+D63+D67</f>
        <v>88161</v>
      </c>
      <c r="E71" s="865">
        <f t="shared" si="1"/>
        <v>0</v>
      </c>
      <c r="F71" s="193">
        <f t="shared" si="1"/>
        <v>88161</v>
      </c>
    </row>
    <row r="72" spans="1:6" s="14" customFormat="1" ht="12" customHeight="1">
      <c r="A72" s="350"/>
      <c r="B72" s="351"/>
      <c r="C72" s="67" t="s">
        <v>435</v>
      </c>
      <c r="D72" s="130">
        <f t="shared" si="1"/>
        <v>120221</v>
      </c>
      <c r="E72" s="130">
        <f t="shared" si="1"/>
        <v>1952</v>
      </c>
      <c r="F72" s="131">
        <f t="shared" si="1"/>
        <v>122173</v>
      </c>
    </row>
    <row r="73" spans="1:6" s="14" customFormat="1" ht="12" customHeight="1">
      <c r="A73" s="344"/>
      <c r="B73" s="345"/>
      <c r="C73" s="67" t="s">
        <v>436</v>
      </c>
      <c r="D73" s="130">
        <f t="shared" si="1"/>
        <v>149873</v>
      </c>
      <c r="E73" s="130">
        <f t="shared" si="1"/>
        <v>0</v>
      </c>
      <c r="F73" s="131">
        <f t="shared" si="1"/>
        <v>149873</v>
      </c>
    </row>
    <row r="74" spans="1:6" s="14" customFormat="1" ht="9.75" customHeight="1">
      <c r="A74" s="344" t="s">
        <v>142</v>
      </c>
      <c r="B74" s="345"/>
      <c r="C74" s="174" t="s">
        <v>179</v>
      </c>
      <c r="D74" s="130"/>
      <c r="E74" s="130"/>
      <c r="F74" s="131"/>
    </row>
    <row r="75" spans="1:6" ht="10.5" customHeight="1">
      <c r="A75" s="334"/>
      <c r="B75" s="335" t="s">
        <v>109</v>
      </c>
      <c r="C75" s="116" t="s">
        <v>491</v>
      </c>
      <c r="D75" s="117"/>
      <c r="E75" s="117"/>
      <c r="F75" s="131"/>
    </row>
    <row r="76" spans="1:6" ht="10.5" customHeight="1">
      <c r="A76" s="334"/>
      <c r="B76" s="335"/>
      <c r="C76" s="64" t="s">
        <v>434</v>
      </c>
      <c r="D76" s="117">
        <v>395000</v>
      </c>
      <c r="E76" s="117" t="s">
        <v>314</v>
      </c>
      <c r="F76" s="131">
        <f>SUM(D76:E76)</f>
        <v>395000</v>
      </c>
    </row>
    <row r="77" spans="1:6" ht="10.5" customHeight="1">
      <c r="A77" s="334"/>
      <c r="B77" s="335"/>
      <c r="C77" s="64" t="s">
        <v>435</v>
      </c>
      <c r="D77" s="117">
        <v>395000</v>
      </c>
      <c r="E77" s="117" t="s">
        <v>314</v>
      </c>
      <c r="F77" s="131">
        <f>SUM(D77:E77)</f>
        <v>395000</v>
      </c>
    </row>
    <row r="78" spans="1:6" ht="10.5" customHeight="1">
      <c r="A78" s="334"/>
      <c r="B78" s="335"/>
      <c r="C78" s="64" t="s">
        <v>436</v>
      </c>
      <c r="D78" s="117">
        <v>393691</v>
      </c>
      <c r="E78" s="117" t="s">
        <v>314</v>
      </c>
      <c r="F78" s="131">
        <f>SUM(D78:E78)</f>
        <v>393691</v>
      </c>
    </row>
    <row r="79" spans="1:6" ht="10.5" customHeight="1">
      <c r="A79" s="334"/>
      <c r="B79" s="335" t="s">
        <v>111</v>
      </c>
      <c r="C79" s="80" t="s">
        <v>492</v>
      </c>
      <c r="D79" s="117"/>
      <c r="E79" s="117"/>
      <c r="F79" s="131"/>
    </row>
    <row r="80" spans="1:6" ht="10.5" customHeight="1">
      <c r="A80" s="334"/>
      <c r="B80" s="335"/>
      <c r="C80" s="64" t="s">
        <v>434</v>
      </c>
      <c r="D80" s="117"/>
      <c r="E80" s="117">
        <v>50000</v>
      </c>
      <c r="F80" s="131">
        <f>SUM(E80)</f>
        <v>50000</v>
      </c>
    </row>
    <row r="81" spans="1:6" ht="10.5" customHeight="1">
      <c r="A81" s="334"/>
      <c r="B81" s="335"/>
      <c r="C81" s="64" t="s">
        <v>435</v>
      </c>
      <c r="D81" s="117"/>
      <c r="E81" s="117">
        <v>50000</v>
      </c>
      <c r="F81" s="131">
        <f>SUM(E81)</f>
        <v>50000</v>
      </c>
    </row>
    <row r="82" spans="1:6" ht="10.5" customHeight="1">
      <c r="A82" s="334"/>
      <c r="B82" s="335"/>
      <c r="C82" s="64" t="s">
        <v>436</v>
      </c>
      <c r="D82" s="117"/>
      <c r="E82" s="117">
        <v>52256</v>
      </c>
      <c r="F82" s="131">
        <f>SUM(E82)</f>
        <v>52256</v>
      </c>
    </row>
    <row r="83" spans="1:6" ht="10.5" customHeight="1">
      <c r="A83" s="334"/>
      <c r="B83" s="335" t="s">
        <v>113</v>
      </c>
      <c r="C83" s="116" t="s">
        <v>180</v>
      </c>
      <c r="D83" s="117"/>
      <c r="E83" s="117"/>
      <c r="F83" s="131"/>
    </row>
    <row r="84" spans="1:6" ht="10.5" customHeight="1">
      <c r="A84" s="334"/>
      <c r="B84" s="335"/>
      <c r="C84" s="64" t="s">
        <v>434</v>
      </c>
      <c r="D84" s="117">
        <v>130000</v>
      </c>
      <c r="E84" s="117"/>
      <c r="F84" s="131">
        <f>SUM(D84:E84)</f>
        <v>130000</v>
      </c>
    </row>
    <row r="85" spans="1:6" ht="10.5" customHeight="1">
      <c r="A85" s="334"/>
      <c r="B85" s="335"/>
      <c r="C85" s="64" t="s">
        <v>435</v>
      </c>
      <c r="D85" s="117">
        <v>120000</v>
      </c>
      <c r="E85" s="117"/>
      <c r="F85" s="131">
        <f>SUM(D85:E85)</f>
        <v>120000</v>
      </c>
    </row>
    <row r="86" spans="1:6" ht="10.5" customHeight="1">
      <c r="A86" s="334"/>
      <c r="B86" s="335"/>
      <c r="C86" s="64" t="s">
        <v>436</v>
      </c>
      <c r="D86" s="117">
        <v>116864</v>
      </c>
      <c r="E86" s="117"/>
      <c r="F86" s="131">
        <f>SUM(D86:E86)</f>
        <v>116864</v>
      </c>
    </row>
    <row r="87" spans="1:6" ht="10.5" customHeight="1">
      <c r="A87" s="334"/>
      <c r="B87" s="335" t="s">
        <v>115</v>
      </c>
      <c r="C87" s="116" t="s">
        <v>181</v>
      </c>
      <c r="D87" s="117"/>
      <c r="E87" s="117"/>
      <c r="F87" s="131"/>
    </row>
    <row r="88" spans="1:6" ht="10.5" customHeight="1">
      <c r="A88" s="334"/>
      <c r="B88" s="335"/>
      <c r="C88" s="64" t="s">
        <v>434</v>
      </c>
      <c r="D88" s="117">
        <v>2500</v>
      </c>
      <c r="E88" s="117"/>
      <c r="F88" s="131">
        <f>SUM(D88:E88)</f>
        <v>2500</v>
      </c>
    </row>
    <row r="89" spans="1:6" ht="10.5" customHeight="1">
      <c r="A89" s="334"/>
      <c r="B89" s="335"/>
      <c r="C89" s="64" t="s">
        <v>435</v>
      </c>
      <c r="D89" s="117">
        <v>2500</v>
      </c>
      <c r="E89" s="117"/>
      <c r="F89" s="131">
        <f>SUM(D89:E89)</f>
        <v>2500</v>
      </c>
    </row>
    <row r="90" spans="1:6" ht="10.5" customHeight="1">
      <c r="A90" s="334"/>
      <c r="B90" s="335"/>
      <c r="C90" s="64" t="s">
        <v>436</v>
      </c>
      <c r="D90" s="117">
        <v>2898</v>
      </c>
      <c r="E90" s="117"/>
      <c r="F90" s="131">
        <f>SUM(D90:E90)</f>
        <v>2898</v>
      </c>
    </row>
    <row r="91" spans="1:6" ht="10.5" customHeight="1">
      <c r="A91" s="334"/>
      <c r="B91" s="335" t="s">
        <v>117</v>
      </c>
      <c r="C91" s="116" t="s">
        <v>182</v>
      </c>
      <c r="D91" s="117"/>
      <c r="E91" s="117"/>
      <c r="F91" s="131"/>
    </row>
    <row r="92" spans="1:6" ht="10.5" customHeight="1">
      <c r="A92" s="334"/>
      <c r="B92" s="335"/>
      <c r="C92" s="64" t="s">
        <v>434</v>
      </c>
      <c r="D92" s="117">
        <v>122308</v>
      </c>
      <c r="E92" s="117"/>
      <c r="F92" s="131">
        <f>SUM(D92:E92)</f>
        <v>122308</v>
      </c>
    </row>
    <row r="93" spans="1:6" ht="10.5" customHeight="1">
      <c r="A93" s="334"/>
      <c r="B93" s="335"/>
      <c r="C93" s="64" t="s">
        <v>435</v>
      </c>
      <c r="D93" s="117">
        <v>122308</v>
      </c>
      <c r="E93" s="117"/>
      <c r="F93" s="131">
        <f>SUM(D93:E93)</f>
        <v>122308</v>
      </c>
    </row>
    <row r="94" spans="1:6" ht="10.5" customHeight="1">
      <c r="A94" s="334"/>
      <c r="B94" s="335"/>
      <c r="C94" s="64" t="s">
        <v>436</v>
      </c>
      <c r="D94" s="117">
        <v>122308</v>
      </c>
      <c r="E94" s="117"/>
      <c r="F94" s="131">
        <f>SUM(D94:E94)</f>
        <v>122308</v>
      </c>
    </row>
    <row r="95" spans="1:6" ht="10.5" customHeight="1">
      <c r="A95" s="334"/>
      <c r="B95" s="335" t="s">
        <v>119</v>
      </c>
      <c r="C95" s="116" t="s">
        <v>493</v>
      </c>
      <c r="D95" s="117"/>
      <c r="E95" s="117"/>
      <c r="F95" s="131"/>
    </row>
    <row r="96" spans="1:6" ht="10.5" customHeight="1">
      <c r="A96" s="334"/>
      <c r="B96" s="335"/>
      <c r="C96" s="64" t="s">
        <v>434</v>
      </c>
      <c r="D96" s="117">
        <v>256463</v>
      </c>
      <c r="E96" s="117"/>
      <c r="F96" s="131">
        <f>SUM(D96:E96)</f>
        <v>256463</v>
      </c>
    </row>
    <row r="97" spans="1:6" ht="10.5" customHeight="1">
      <c r="A97" s="334"/>
      <c r="B97" s="335"/>
      <c r="C97" s="64" t="s">
        <v>435</v>
      </c>
      <c r="D97" s="117">
        <v>214088</v>
      </c>
      <c r="E97" s="117"/>
      <c r="F97" s="131">
        <f>SUM(D97:E97)</f>
        <v>214088</v>
      </c>
    </row>
    <row r="98" spans="1:6" ht="10.5" customHeight="1">
      <c r="A98" s="334"/>
      <c r="B98" s="335"/>
      <c r="C98" s="64" t="s">
        <v>436</v>
      </c>
      <c r="D98" s="117">
        <v>214088</v>
      </c>
      <c r="E98" s="117"/>
      <c r="F98" s="131">
        <f>SUM(D98:E98)</f>
        <v>214088</v>
      </c>
    </row>
    <row r="99" spans="1:6" ht="10.5" customHeight="1">
      <c r="A99" s="334"/>
      <c r="B99" s="335" t="s">
        <v>121</v>
      </c>
      <c r="C99" s="116" t="s">
        <v>494</v>
      </c>
      <c r="D99" s="117"/>
      <c r="E99" s="117"/>
      <c r="F99" s="131"/>
    </row>
    <row r="100" spans="1:6" ht="10.5" customHeight="1">
      <c r="A100" s="334"/>
      <c r="B100" s="335"/>
      <c r="C100" s="64" t="s">
        <v>434</v>
      </c>
      <c r="D100" s="117">
        <v>50</v>
      </c>
      <c r="E100" s="117"/>
      <c r="F100" s="131">
        <f>SUM(D100:E100)</f>
        <v>50</v>
      </c>
    </row>
    <row r="101" spans="1:6" ht="10.5" customHeight="1">
      <c r="A101" s="334"/>
      <c r="B101" s="335"/>
      <c r="C101" s="64" t="s">
        <v>435</v>
      </c>
      <c r="D101" s="117">
        <v>50</v>
      </c>
      <c r="E101" s="117"/>
      <c r="F101" s="131">
        <f>SUM(D101:E101)</f>
        <v>50</v>
      </c>
    </row>
    <row r="102" spans="1:6" ht="10.5" customHeight="1">
      <c r="A102" s="334"/>
      <c r="B102" s="335"/>
      <c r="C102" s="64" t="s">
        <v>436</v>
      </c>
      <c r="D102" s="117">
        <v>0</v>
      </c>
      <c r="E102" s="117"/>
      <c r="F102" s="131">
        <f>SUM(D102:E102)</f>
        <v>0</v>
      </c>
    </row>
    <row r="103" spans="1:6" ht="10.5" customHeight="1">
      <c r="A103" s="334"/>
      <c r="B103" s="335" t="s">
        <v>122</v>
      </c>
      <c r="C103" s="116" t="s">
        <v>495</v>
      </c>
      <c r="D103" s="117"/>
      <c r="E103" s="117"/>
      <c r="F103" s="131"/>
    </row>
    <row r="104" spans="1:6" ht="10.5" customHeight="1">
      <c r="A104" s="334"/>
      <c r="B104" s="335"/>
      <c r="C104" s="64" t="s">
        <v>434</v>
      </c>
      <c r="D104" s="117">
        <v>452</v>
      </c>
      <c r="E104" s="117"/>
      <c r="F104" s="131">
        <f>SUM(D104:E104)</f>
        <v>452</v>
      </c>
    </row>
    <row r="105" spans="1:6" ht="10.5" customHeight="1">
      <c r="A105" s="334"/>
      <c r="B105" s="335"/>
      <c r="C105" s="64" t="s">
        <v>435</v>
      </c>
      <c r="D105" s="117">
        <v>452</v>
      </c>
      <c r="E105" s="117"/>
      <c r="F105" s="131">
        <f>SUM(D105:E105)</f>
        <v>452</v>
      </c>
    </row>
    <row r="106" spans="1:6" ht="10.5" customHeight="1">
      <c r="A106" s="334"/>
      <c r="B106" s="335"/>
      <c r="C106" s="64" t="s">
        <v>436</v>
      </c>
      <c r="D106" s="117">
        <v>0</v>
      </c>
      <c r="E106" s="117"/>
      <c r="F106" s="131">
        <f>SUM(D106:E106)</f>
        <v>0</v>
      </c>
    </row>
    <row r="107" spans="1:6" ht="10.5" customHeight="1">
      <c r="A107" s="334"/>
      <c r="B107" s="335" t="s">
        <v>124</v>
      </c>
      <c r="C107" s="116" t="s">
        <v>496</v>
      </c>
      <c r="D107" s="117"/>
      <c r="E107" s="117"/>
      <c r="F107" s="131"/>
    </row>
    <row r="108" spans="1:6" ht="10.5" customHeight="1">
      <c r="A108" s="334"/>
      <c r="B108" s="335"/>
      <c r="C108" s="64" t="s">
        <v>434</v>
      </c>
      <c r="D108" s="117">
        <v>250</v>
      </c>
      <c r="E108" s="117"/>
      <c r="F108" s="131">
        <f>SUM(D108:E108)</f>
        <v>250</v>
      </c>
    </row>
    <row r="109" spans="1:6" ht="10.5" customHeight="1">
      <c r="A109" s="334"/>
      <c r="B109" s="335"/>
      <c r="C109" s="64" t="s">
        <v>435</v>
      </c>
      <c r="D109" s="117">
        <v>250</v>
      </c>
      <c r="E109" s="117"/>
      <c r="F109" s="131">
        <f>SUM(D109:E109)</f>
        <v>250</v>
      </c>
    </row>
    <row r="110" spans="1:6" ht="10.5" customHeight="1">
      <c r="A110" s="334"/>
      <c r="B110" s="335"/>
      <c r="C110" s="64" t="s">
        <v>436</v>
      </c>
      <c r="D110" s="117">
        <v>0</v>
      </c>
      <c r="E110" s="117"/>
      <c r="F110" s="131">
        <f>SUM(D110:E110)</f>
        <v>0</v>
      </c>
    </row>
    <row r="111" spans="1:6" ht="10.5" customHeight="1">
      <c r="A111" s="334"/>
      <c r="B111" s="335" t="s">
        <v>126</v>
      </c>
      <c r="C111" s="116" t="s">
        <v>183</v>
      </c>
      <c r="D111" s="117"/>
      <c r="E111" s="117"/>
      <c r="F111" s="131"/>
    </row>
    <row r="112" spans="1:6" ht="10.5" customHeight="1">
      <c r="A112" s="334"/>
      <c r="B112" s="335"/>
      <c r="C112" s="64" t="s">
        <v>434</v>
      </c>
      <c r="D112" s="117">
        <v>300</v>
      </c>
      <c r="E112" s="117"/>
      <c r="F112" s="131">
        <f>SUM(D112:E112)</f>
        <v>300</v>
      </c>
    </row>
    <row r="113" spans="1:6" ht="10.5" customHeight="1">
      <c r="A113" s="334"/>
      <c r="B113" s="335"/>
      <c r="C113" s="64" t="s">
        <v>435</v>
      </c>
      <c r="D113" s="117">
        <v>300</v>
      </c>
      <c r="E113" s="117"/>
      <c r="F113" s="131">
        <f>SUM(D113:E113)</f>
        <v>300</v>
      </c>
    </row>
    <row r="114" spans="1:6" ht="10.5" customHeight="1">
      <c r="A114" s="334"/>
      <c r="B114" s="335"/>
      <c r="C114" s="64" t="s">
        <v>436</v>
      </c>
      <c r="D114" s="117">
        <v>684</v>
      </c>
      <c r="E114" s="117"/>
      <c r="F114" s="131">
        <f>SUM(D114:E114)</f>
        <v>684</v>
      </c>
    </row>
    <row r="115" spans="1:6" ht="10.5" customHeight="1">
      <c r="A115" s="334"/>
      <c r="B115" s="335" t="s">
        <v>127</v>
      </c>
      <c r="C115" s="116" t="s">
        <v>497</v>
      </c>
      <c r="D115" s="117"/>
      <c r="E115" s="117"/>
      <c r="F115" s="131"/>
    </row>
    <row r="116" spans="1:6" ht="10.5" customHeight="1">
      <c r="A116" s="334"/>
      <c r="B116" s="335"/>
      <c r="C116" s="64" t="s">
        <v>434</v>
      </c>
      <c r="D116" s="117">
        <v>30</v>
      </c>
      <c r="E116" s="117"/>
      <c r="F116" s="131">
        <f>SUM(D116:E116)</f>
        <v>30</v>
      </c>
    </row>
    <row r="117" spans="1:6" ht="10.5" customHeight="1">
      <c r="A117" s="334"/>
      <c r="B117" s="335"/>
      <c r="C117" s="64" t="s">
        <v>435</v>
      </c>
      <c r="D117" s="117">
        <v>30</v>
      </c>
      <c r="E117" s="117"/>
      <c r="F117" s="131">
        <f>SUM(D117:E117)</f>
        <v>30</v>
      </c>
    </row>
    <row r="118" spans="1:6" ht="10.5" customHeight="1">
      <c r="A118" s="334"/>
      <c r="B118" s="335"/>
      <c r="C118" s="64" t="s">
        <v>436</v>
      </c>
      <c r="D118" s="117">
        <v>0</v>
      </c>
      <c r="E118" s="117"/>
      <c r="F118" s="131">
        <f>SUM(D118:E118)</f>
        <v>0</v>
      </c>
    </row>
    <row r="119" spans="1:6" ht="10.5" customHeight="1">
      <c r="A119" s="337"/>
      <c r="B119" s="347" t="s">
        <v>192</v>
      </c>
      <c r="C119" s="434" t="s">
        <v>676</v>
      </c>
      <c r="D119" s="146"/>
      <c r="E119" s="146"/>
      <c r="F119" s="135"/>
    </row>
    <row r="120" spans="1:6" ht="10.5" customHeight="1">
      <c r="A120" s="354"/>
      <c r="B120" s="335"/>
      <c r="C120" s="64" t="s">
        <v>434</v>
      </c>
      <c r="D120" s="117">
        <v>0</v>
      </c>
      <c r="E120" s="117"/>
      <c r="F120" s="131">
        <v>0</v>
      </c>
    </row>
    <row r="121" spans="1:6" ht="10.5" customHeight="1">
      <c r="A121" s="354"/>
      <c r="B121" s="335"/>
      <c r="C121" s="64" t="s">
        <v>435</v>
      </c>
      <c r="D121" s="117">
        <v>3829</v>
      </c>
      <c r="E121" s="117"/>
      <c r="F121" s="131">
        <f>D121</f>
        <v>3829</v>
      </c>
    </row>
    <row r="122" spans="1:6" ht="10.5" customHeight="1" thickBot="1">
      <c r="A122" s="337"/>
      <c r="B122" s="347"/>
      <c r="C122" s="64" t="s">
        <v>436</v>
      </c>
      <c r="D122" s="146">
        <v>12844</v>
      </c>
      <c r="E122" s="146"/>
      <c r="F122" s="135">
        <f>D122</f>
        <v>12844</v>
      </c>
    </row>
    <row r="123" spans="1:6" s="14" customFormat="1" ht="12" customHeight="1" thickBot="1" thickTop="1">
      <c r="A123" s="339"/>
      <c r="B123" s="340"/>
      <c r="C123" s="341" t="s">
        <v>720</v>
      </c>
      <c r="D123" s="188"/>
      <c r="E123" s="188"/>
      <c r="F123" s="189"/>
    </row>
    <row r="124" spans="1:6" s="14" customFormat="1" ht="12" customHeight="1" thickTop="1">
      <c r="A124" s="352"/>
      <c r="B124" s="343"/>
      <c r="C124" s="249" t="s">
        <v>434</v>
      </c>
      <c r="D124" s="865">
        <f>D76+D84+D88+D92+D96+D100+D104+D108+D112+D116+D80</f>
        <v>907353</v>
      </c>
      <c r="E124" s="865">
        <f>E84+E88+E92+E96+E100+E104+E108+E112+E116+E80</f>
        <v>50000</v>
      </c>
      <c r="F124" s="193">
        <f>F76+F84+F88+F92+F96+F100+F104+F108+F112+F116+F80</f>
        <v>957353</v>
      </c>
    </row>
    <row r="125" spans="1:6" s="14" customFormat="1" ht="12" customHeight="1">
      <c r="A125" s="344"/>
      <c r="B125" s="345"/>
      <c r="C125" s="67" t="s">
        <v>435</v>
      </c>
      <c r="D125" s="130">
        <f aca="true" t="shared" si="2" ref="D125:F126">D77+D85+D89+D93+D97+D101+D105+D109+D113+D117+D81+D121</f>
        <v>858807</v>
      </c>
      <c r="E125" s="130">
        <f>E85+E89+E93+E97+E101+E105+E109+E113+E117+E81+E121</f>
        <v>50000</v>
      </c>
      <c r="F125" s="131">
        <f t="shared" si="2"/>
        <v>908807</v>
      </c>
    </row>
    <row r="126" spans="1:6" s="14" customFormat="1" ht="12" customHeight="1">
      <c r="A126" s="344"/>
      <c r="B126" s="345"/>
      <c r="C126" s="67" t="s">
        <v>436</v>
      </c>
      <c r="D126" s="130">
        <f>D78+D86+D90+D94+D98+D102+D106+D110+D114+D118+D82+D122</f>
        <v>863377</v>
      </c>
      <c r="E126" s="130">
        <f>E86+E90+E94+E98+E102+E106+E110+E114+E118+E82+E122</f>
        <v>52256</v>
      </c>
      <c r="F126" s="131">
        <f t="shared" si="2"/>
        <v>915633</v>
      </c>
    </row>
    <row r="127" spans="1:6" ht="0.75" customHeight="1">
      <c r="A127" s="334"/>
      <c r="B127" s="335"/>
      <c r="C127" s="116"/>
      <c r="D127" s="117"/>
      <c r="E127" s="117"/>
      <c r="F127" s="149"/>
    </row>
    <row r="128" spans="1:6" s="14" customFormat="1" ht="12" customHeight="1">
      <c r="A128" s="344" t="s">
        <v>159</v>
      </c>
      <c r="B128" s="345"/>
      <c r="C128" s="174" t="s">
        <v>146</v>
      </c>
      <c r="D128" s="130"/>
      <c r="E128" s="130"/>
      <c r="F128" s="131"/>
    </row>
    <row r="129" spans="1:6" ht="10.5" customHeight="1">
      <c r="A129" s="334"/>
      <c r="B129" s="335" t="s">
        <v>109</v>
      </c>
      <c r="C129" s="116" t="s">
        <v>498</v>
      </c>
      <c r="D129" s="117"/>
      <c r="E129" s="117"/>
      <c r="F129" s="131"/>
    </row>
    <row r="130" spans="1:6" ht="10.5" customHeight="1">
      <c r="A130" s="334"/>
      <c r="B130" s="335"/>
      <c r="C130" s="64" t="s">
        <v>434</v>
      </c>
      <c r="D130" s="117"/>
      <c r="E130" s="117">
        <v>1667</v>
      </c>
      <c r="F130" s="131">
        <f>SUM(D130:E130)</f>
        <v>1667</v>
      </c>
    </row>
    <row r="131" spans="1:6" ht="10.5" customHeight="1">
      <c r="A131" s="334"/>
      <c r="B131" s="335"/>
      <c r="C131" s="64" t="s">
        <v>435</v>
      </c>
      <c r="D131" s="117"/>
      <c r="E131" s="117">
        <v>2000</v>
      </c>
      <c r="F131" s="131">
        <f>SUM(D131:E131)</f>
        <v>2000</v>
      </c>
    </row>
    <row r="132" spans="1:6" ht="10.5" customHeight="1">
      <c r="A132" s="334"/>
      <c r="B132" s="335"/>
      <c r="C132" s="64" t="s">
        <v>436</v>
      </c>
      <c r="D132" s="117"/>
      <c r="E132" s="117">
        <v>2000</v>
      </c>
      <c r="F132" s="131">
        <f>SUM(D132:E132)</f>
        <v>2000</v>
      </c>
    </row>
    <row r="133" spans="1:6" ht="10.5" customHeight="1">
      <c r="A133" s="334"/>
      <c r="B133" s="335" t="s">
        <v>111</v>
      </c>
      <c r="C133" s="433" t="s">
        <v>736</v>
      </c>
      <c r="D133" s="117"/>
      <c r="E133" s="117"/>
      <c r="F133" s="131"/>
    </row>
    <row r="134" spans="1:6" ht="10.5" customHeight="1">
      <c r="A134" s="334"/>
      <c r="B134" s="335"/>
      <c r="C134" s="64" t="s">
        <v>434</v>
      </c>
      <c r="D134" s="117"/>
      <c r="E134" s="117">
        <v>8937</v>
      </c>
      <c r="F134" s="131">
        <f>SUM(D134:E134)</f>
        <v>8937</v>
      </c>
    </row>
    <row r="135" spans="1:6" ht="10.5" customHeight="1">
      <c r="A135" s="334"/>
      <c r="B135" s="335"/>
      <c r="C135" s="64" t="s">
        <v>435</v>
      </c>
      <c r="D135" s="117"/>
      <c r="E135" s="117">
        <v>8937</v>
      </c>
      <c r="F135" s="131">
        <f>SUM(D135:E135)</f>
        <v>8937</v>
      </c>
    </row>
    <row r="136" spans="1:6" ht="10.5" customHeight="1">
      <c r="A136" s="334"/>
      <c r="B136" s="335"/>
      <c r="C136" s="64" t="s">
        <v>436</v>
      </c>
      <c r="D136" s="117"/>
      <c r="E136" s="117">
        <v>8937</v>
      </c>
      <c r="F136" s="131">
        <f>SUM(D136:E136)</f>
        <v>8937</v>
      </c>
    </row>
    <row r="137" spans="1:6" ht="10.5" customHeight="1">
      <c r="A137" s="334"/>
      <c r="B137" s="335" t="s">
        <v>113</v>
      </c>
      <c r="C137" s="116" t="s">
        <v>573</v>
      </c>
      <c r="D137" s="117"/>
      <c r="E137" s="117"/>
      <c r="F137" s="131"/>
    </row>
    <row r="138" spans="1:6" ht="10.5" customHeight="1">
      <c r="A138" s="334"/>
      <c r="B138" s="335"/>
      <c r="C138" s="64" t="s">
        <v>434</v>
      </c>
      <c r="D138" s="117"/>
      <c r="E138" s="117">
        <v>14000</v>
      </c>
      <c r="F138" s="131">
        <f>SUM(D138:E138)</f>
        <v>14000</v>
      </c>
    </row>
    <row r="139" spans="1:6" ht="10.5" customHeight="1">
      <c r="A139" s="334"/>
      <c r="B139" s="335"/>
      <c r="C139" s="64" t="s">
        <v>435</v>
      </c>
      <c r="D139" s="117"/>
      <c r="E139" s="117">
        <v>18310</v>
      </c>
      <c r="F139" s="131">
        <f>SUM(D139:E139)</f>
        <v>18310</v>
      </c>
    </row>
    <row r="140" spans="1:6" ht="10.5" customHeight="1">
      <c r="A140" s="334"/>
      <c r="B140" s="335"/>
      <c r="C140" s="64" t="s">
        <v>436</v>
      </c>
      <c r="D140" s="117"/>
      <c r="E140" s="117">
        <v>18310</v>
      </c>
      <c r="F140" s="131">
        <f>SUM(D140:E140)</f>
        <v>18310</v>
      </c>
    </row>
    <row r="141" spans="1:6" ht="10.5" customHeight="1">
      <c r="A141" s="334"/>
      <c r="B141" s="335" t="s">
        <v>115</v>
      </c>
      <c r="C141" s="116" t="s">
        <v>574</v>
      </c>
      <c r="D141" s="117"/>
      <c r="E141" s="117"/>
      <c r="F141" s="131"/>
    </row>
    <row r="142" spans="1:6" ht="10.5" customHeight="1">
      <c r="A142" s="334"/>
      <c r="B142" s="335"/>
      <c r="C142" s="64" t="s">
        <v>434</v>
      </c>
      <c r="D142" s="117"/>
      <c r="E142" s="117">
        <v>1020</v>
      </c>
      <c r="F142" s="131">
        <f>SUM(D142:E142)</f>
        <v>1020</v>
      </c>
    </row>
    <row r="143" spans="1:6" ht="10.5" customHeight="1">
      <c r="A143" s="334"/>
      <c r="B143" s="335"/>
      <c r="C143" s="64" t="s">
        <v>435</v>
      </c>
      <c r="D143" s="117"/>
      <c r="E143" s="117">
        <v>7020</v>
      </c>
      <c r="F143" s="131">
        <f>SUM(D143:E143)</f>
        <v>7020</v>
      </c>
    </row>
    <row r="144" spans="1:6" ht="10.5" customHeight="1">
      <c r="A144" s="334"/>
      <c r="B144" s="335"/>
      <c r="C144" s="64" t="s">
        <v>436</v>
      </c>
      <c r="D144" s="117"/>
      <c r="E144" s="117">
        <f>44+982+3187+1068+974+1190+40+46+422+898</f>
        <v>8851</v>
      </c>
      <c r="F144" s="131">
        <f>SUM(D144:E144)</f>
        <v>8851</v>
      </c>
    </row>
    <row r="145" spans="1:6" ht="10.5" customHeight="1">
      <c r="A145" s="334"/>
      <c r="B145" s="335" t="s">
        <v>117</v>
      </c>
      <c r="C145" s="116" t="s">
        <v>184</v>
      </c>
      <c r="D145" s="117"/>
      <c r="E145" s="117"/>
      <c r="F145" s="131"/>
    </row>
    <row r="146" spans="1:6" ht="10.5" customHeight="1">
      <c r="A146" s="334"/>
      <c r="B146" s="335"/>
      <c r="C146" s="64" t="s">
        <v>434</v>
      </c>
      <c r="D146" s="117"/>
      <c r="E146" s="117">
        <v>50</v>
      </c>
      <c r="F146" s="131">
        <f>SUM(D146:E146)</f>
        <v>50</v>
      </c>
    </row>
    <row r="147" spans="1:6" ht="10.5" customHeight="1">
      <c r="A147" s="334"/>
      <c r="B147" s="335"/>
      <c r="C147" s="64" t="s">
        <v>435</v>
      </c>
      <c r="D147" s="117"/>
      <c r="E147" s="117">
        <v>50</v>
      </c>
      <c r="F147" s="131">
        <f>SUM(D147:E147)</f>
        <v>50</v>
      </c>
    </row>
    <row r="148" spans="1:6" ht="10.5" customHeight="1">
      <c r="A148" s="337"/>
      <c r="B148" s="338"/>
      <c r="C148" s="432" t="s">
        <v>436</v>
      </c>
      <c r="D148" s="146"/>
      <c r="E148" s="146">
        <v>110</v>
      </c>
      <c r="F148" s="864">
        <f>SUM(D148:E148)</f>
        <v>110</v>
      </c>
    </row>
    <row r="149" spans="1:6" ht="10.5" customHeight="1">
      <c r="A149" s="354"/>
      <c r="B149" s="335" t="s">
        <v>119</v>
      </c>
      <c r="C149" s="433" t="s">
        <v>576</v>
      </c>
      <c r="D149" s="117"/>
      <c r="E149" s="117"/>
      <c r="F149" s="863"/>
    </row>
    <row r="150" spans="1:6" ht="10.5" customHeight="1">
      <c r="A150" s="354"/>
      <c r="B150" s="335"/>
      <c r="C150" s="64" t="s">
        <v>434</v>
      </c>
      <c r="D150" s="117"/>
      <c r="E150" s="117">
        <v>2000</v>
      </c>
      <c r="F150" s="863">
        <f>E150</f>
        <v>2000</v>
      </c>
    </row>
    <row r="151" spans="1:6" ht="10.5" customHeight="1">
      <c r="A151" s="354"/>
      <c r="B151" s="335"/>
      <c r="C151" s="64" t="s">
        <v>435</v>
      </c>
      <c r="D151" s="117"/>
      <c r="E151" s="117">
        <v>0</v>
      </c>
      <c r="F151" s="863">
        <f aca="true" t="shared" si="3" ref="F151:F160">E151</f>
        <v>0</v>
      </c>
    </row>
    <row r="152" spans="1:6" ht="10.5" customHeight="1">
      <c r="A152" s="354"/>
      <c r="B152" s="335"/>
      <c r="C152" s="64" t="s">
        <v>436</v>
      </c>
      <c r="D152" s="117"/>
      <c r="E152" s="117">
        <v>0</v>
      </c>
      <c r="F152" s="863">
        <f t="shared" si="3"/>
        <v>0</v>
      </c>
    </row>
    <row r="153" spans="1:6" ht="10.5" customHeight="1">
      <c r="A153" s="354"/>
      <c r="B153" s="335">
        <v>7</v>
      </c>
      <c r="C153" s="433" t="s">
        <v>575</v>
      </c>
      <c r="D153" s="117"/>
      <c r="E153" s="117"/>
      <c r="F153" s="863"/>
    </row>
    <row r="154" spans="1:6" ht="10.5" customHeight="1">
      <c r="A154" s="354"/>
      <c r="B154" s="335"/>
      <c r="C154" s="64" t="s">
        <v>434</v>
      </c>
      <c r="D154" s="117"/>
      <c r="E154" s="117">
        <v>0</v>
      </c>
      <c r="F154" s="863">
        <f t="shared" si="3"/>
        <v>0</v>
      </c>
    </row>
    <row r="155" spans="1:6" ht="10.5" customHeight="1">
      <c r="A155" s="354"/>
      <c r="B155" s="335"/>
      <c r="C155" s="64" t="s">
        <v>435</v>
      </c>
      <c r="D155" s="117"/>
      <c r="E155" s="117">
        <v>125</v>
      </c>
      <c r="F155" s="131">
        <f t="shared" si="3"/>
        <v>125</v>
      </c>
    </row>
    <row r="156" spans="1:6" ht="10.5" customHeight="1">
      <c r="A156" s="354"/>
      <c r="B156" s="335"/>
      <c r="C156" s="64" t="s">
        <v>436</v>
      </c>
      <c r="D156" s="117"/>
      <c r="E156" s="117">
        <v>125</v>
      </c>
      <c r="F156" s="131">
        <f t="shared" si="3"/>
        <v>125</v>
      </c>
    </row>
    <row r="157" spans="1:6" ht="10.5" customHeight="1">
      <c r="A157" s="354"/>
      <c r="B157" s="335">
        <v>8</v>
      </c>
      <c r="C157" s="433" t="s">
        <v>737</v>
      </c>
      <c r="D157" s="117"/>
      <c r="E157" s="117"/>
      <c r="F157" s="131"/>
    </row>
    <row r="158" spans="1:6" ht="10.5" customHeight="1">
      <c r="A158" s="354"/>
      <c r="B158" s="335"/>
      <c r="C158" s="64" t="s">
        <v>434</v>
      </c>
      <c r="D158" s="117"/>
      <c r="E158" s="117">
        <v>0</v>
      </c>
      <c r="F158" s="131">
        <f t="shared" si="3"/>
        <v>0</v>
      </c>
    </row>
    <row r="159" spans="1:6" ht="10.5" customHeight="1">
      <c r="A159" s="354"/>
      <c r="B159" s="335"/>
      <c r="C159" s="64" t="s">
        <v>435</v>
      </c>
      <c r="D159" s="117"/>
      <c r="E159" s="117">
        <v>7808</v>
      </c>
      <c r="F159" s="131">
        <f t="shared" si="3"/>
        <v>7808</v>
      </c>
    </row>
    <row r="160" spans="1:6" ht="10.5" customHeight="1" thickBot="1">
      <c r="A160" s="337"/>
      <c r="B160" s="347"/>
      <c r="C160" s="78" t="s">
        <v>436</v>
      </c>
      <c r="D160" s="146"/>
      <c r="E160" s="146">
        <v>0</v>
      </c>
      <c r="F160" s="135">
        <f t="shared" si="3"/>
        <v>0</v>
      </c>
    </row>
    <row r="161" spans="1:6" s="14" customFormat="1" ht="12" customHeight="1" thickBot="1" thickTop="1">
      <c r="A161" s="339"/>
      <c r="B161" s="340"/>
      <c r="C161" s="341" t="s">
        <v>612</v>
      </c>
      <c r="D161" s="188"/>
      <c r="E161" s="188"/>
      <c r="F161" s="189"/>
    </row>
    <row r="162" spans="1:6" s="14" customFormat="1" ht="12" customHeight="1" thickTop="1">
      <c r="A162" s="352"/>
      <c r="B162" s="343"/>
      <c r="C162" s="249" t="s">
        <v>434</v>
      </c>
      <c r="D162" s="866">
        <f>D130+D134+D138+D142+D146</f>
        <v>0</v>
      </c>
      <c r="E162" s="866">
        <f>E130+E134+E138+E142+E146+E150+E154+E158</f>
        <v>27674</v>
      </c>
      <c r="F162" s="867">
        <f>F130+F134+F138+F142+F146+F150+F154+F158</f>
        <v>27674</v>
      </c>
    </row>
    <row r="163" spans="1:6" s="14" customFormat="1" ht="12" customHeight="1">
      <c r="A163" s="344"/>
      <c r="B163" s="345"/>
      <c r="C163" s="67" t="s">
        <v>435</v>
      </c>
      <c r="D163" s="130">
        <f>D131+D135+D139+D143+D147</f>
        <v>0</v>
      </c>
      <c r="E163" s="130">
        <f>E131+E135+E139+E143+E147+E151+E159+E155</f>
        <v>44250</v>
      </c>
      <c r="F163" s="131">
        <f>F131+F135+F139+F143+F147+F151+F159+F155</f>
        <v>44250</v>
      </c>
    </row>
    <row r="164" spans="1:6" s="14" customFormat="1" ht="12" customHeight="1">
      <c r="A164" s="344"/>
      <c r="B164" s="345"/>
      <c r="C164" s="67" t="s">
        <v>436</v>
      </c>
      <c r="D164" s="130">
        <f>D132+D136+D140+D144+D148</f>
        <v>0</v>
      </c>
      <c r="E164" s="130">
        <f>E132+E136+E140+E144+E148+E152+E160+E156</f>
        <v>38333</v>
      </c>
      <c r="F164" s="131">
        <f>F132+F136+F140+F144+F148+F152+F160+F156</f>
        <v>38333</v>
      </c>
    </row>
    <row r="165" spans="1:6" s="14" customFormat="1" ht="11.25" customHeight="1">
      <c r="A165" s="344" t="s">
        <v>185</v>
      </c>
      <c r="B165" s="345"/>
      <c r="C165" s="174" t="s">
        <v>331</v>
      </c>
      <c r="D165" s="130"/>
      <c r="E165" s="130"/>
      <c r="F165" s="131"/>
    </row>
    <row r="166" spans="1:6" ht="9.75" customHeight="1">
      <c r="A166" s="344" t="s">
        <v>109</v>
      </c>
      <c r="B166" s="335"/>
      <c r="C166" s="174" t="s">
        <v>340</v>
      </c>
      <c r="D166" s="117"/>
      <c r="E166" s="117"/>
      <c r="F166" s="149"/>
    </row>
    <row r="167" spans="1:6" ht="10.5" customHeight="1">
      <c r="A167" s="334"/>
      <c r="B167" s="353" t="s">
        <v>343</v>
      </c>
      <c r="C167" s="116" t="s">
        <v>186</v>
      </c>
      <c r="D167" s="117"/>
      <c r="E167" s="117"/>
      <c r="F167" s="131"/>
    </row>
    <row r="168" spans="1:6" ht="10.5" customHeight="1">
      <c r="A168" s="334"/>
      <c r="B168" s="353"/>
      <c r="C168" s="64" t="s">
        <v>434</v>
      </c>
      <c r="D168" s="117">
        <v>31700</v>
      </c>
      <c r="E168" s="117"/>
      <c r="F168" s="131">
        <f>SUM(D168:E168)</f>
        <v>31700</v>
      </c>
    </row>
    <row r="169" spans="1:6" ht="10.5" customHeight="1">
      <c r="A169" s="334"/>
      <c r="B169" s="353"/>
      <c r="C169" s="64" t="s">
        <v>435</v>
      </c>
      <c r="D169" s="117">
        <v>2323</v>
      </c>
      <c r="E169" s="117"/>
      <c r="F169" s="131">
        <f>SUM(D169:E169)</f>
        <v>2323</v>
      </c>
    </row>
    <row r="170" spans="1:6" ht="10.5" customHeight="1">
      <c r="A170" s="334"/>
      <c r="B170" s="353"/>
      <c r="C170" s="64" t="s">
        <v>436</v>
      </c>
      <c r="D170" s="117">
        <v>0</v>
      </c>
      <c r="E170" s="117"/>
      <c r="F170" s="131">
        <f>SUM(D170:E170)</f>
        <v>0</v>
      </c>
    </row>
    <row r="171" spans="1:6" ht="10.5" customHeight="1">
      <c r="A171" s="334"/>
      <c r="B171" s="353" t="s">
        <v>577</v>
      </c>
      <c r="C171" s="80" t="s">
        <v>579</v>
      </c>
      <c r="D171" s="117"/>
      <c r="E171" s="117"/>
      <c r="F171" s="131"/>
    </row>
    <row r="172" spans="1:6" ht="10.5" customHeight="1">
      <c r="A172" s="334"/>
      <c r="B172" s="353"/>
      <c r="C172" s="64" t="s">
        <v>434</v>
      </c>
      <c r="D172" s="117">
        <v>37600</v>
      </c>
      <c r="E172" s="117"/>
      <c r="F172" s="131">
        <f>SUM(D172:E172)</f>
        <v>37600</v>
      </c>
    </row>
    <row r="173" spans="1:6" ht="10.5" customHeight="1">
      <c r="A173" s="334"/>
      <c r="B173" s="353"/>
      <c r="C173" s="64" t="s">
        <v>435</v>
      </c>
      <c r="D173" s="117">
        <v>4518</v>
      </c>
      <c r="E173" s="117"/>
      <c r="F173" s="131">
        <f>SUM(D173:E173)</f>
        <v>4518</v>
      </c>
    </row>
    <row r="174" spans="1:6" ht="10.5" customHeight="1">
      <c r="A174" s="334"/>
      <c r="B174" s="353"/>
      <c r="C174" s="64" t="s">
        <v>436</v>
      </c>
      <c r="D174" s="117">
        <v>0</v>
      </c>
      <c r="E174" s="117"/>
      <c r="F174" s="131">
        <f>SUM(D174:E174)</f>
        <v>0</v>
      </c>
    </row>
    <row r="175" spans="1:6" ht="10.5" customHeight="1">
      <c r="A175" s="334"/>
      <c r="B175" s="353" t="s">
        <v>578</v>
      </c>
      <c r="C175" s="116" t="s">
        <v>580</v>
      </c>
      <c r="D175" s="117"/>
      <c r="E175" s="117"/>
      <c r="F175" s="131"/>
    </row>
    <row r="176" spans="1:6" ht="10.5" customHeight="1">
      <c r="A176" s="334"/>
      <c r="B176" s="353"/>
      <c r="C176" s="64" t="s">
        <v>434</v>
      </c>
      <c r="D176" s="117">
        <v>9000</v>
      </c>
      <c r="E176" s="117"/>
      <c r="F176" s="131">
        <f>SUM(D176:E176)</f>
        <v>9000</v>
      </c>
    </row>
    <row r="177" spans="1:6" ht="10.5" customHeight="1">
      <c r="A177" s="334"/>
      <c r="B177" s="353"/>
      <c r="C177" s="64" t="s">
        <v>435</v>
      </c>
      <c r="D177" s="117">
        <v>2687</v>
      </c>
      <c r="E177" s="117"/>
      <c r="F177" s="131">
        <f>SUM(D177:E177)</f>
        <v>2687</v>
      </c>
    </row>
    <row r="178" spans="1:6" ht="10.5" customHeight="1">
      <c r="A178" s="334"/>
      <c r="B178" s="353"/>
      <c r="C178" s="64" t="s">
        <v>436</v>
      </c>
      <c r="D178" s="117">
        <v>0</v>
      </c>
      <c r="E178" s="117"/>
      <c r="F178" s="131">
        <f>SUM(D178:E178)</f>
        <v>0</v>
      </c>
    </row>
    <row r="179" spans="1:6" ht="10.5" customHeight="1">
      <c r="A179" s="334"/>
      <c r="B179" s="353" t="s">
        <v>345</v>
      </c>
      <c r="C179" s="116" t="s">
        <v>188</v>
      </c>
      <c r="D179" s="117"/>
      <c r="E179" s="117"/>
      <c r="F179" s="131"/>
    </row>
    <row r="180" spans="1:6" ht="10.5" customHeight="1">
      <c r="A180" s="334"/>
      <c r="B180" s="353"/>
      <c r="C180" s="64" t="s">
        <v>434</v>
      </c>
      <c r="D180" s="117">
        <v>13500</v>
      </c>
      <c r="E180" s="117"/>
      <c r="F180" s="131">
        <f>SUM(D180:E180)</f>
        <v>13500</v>
      </c>
    </row>
    <row r="181" spans="1:6" ht="10.5" customHeight="1">
      <c r="A181" s="334"/>
      <c r="B181" s="353"/>
      <c r="C181" s="64" t="s">
        <v>435</v>
      </c>
      <c r="D181" s="117">
        <v>1490</v>
      </c>
      <c r="E181" s="117"/>
      <c r="F181" s="131">
        <f>SUM(D181:E181)</f>
        <v>1490</v>
      </c>
    </row>
    <row r="182" spans="1:6" ht="10.5" customHeight="1">
      <c r="A182" s="334"/>
      <c r="B182" s="353"/>
      <c r="C182" s="64" t="s">
        <v>436</v>
      </c>
      <c r="D182" s="117">
        <v>0</v>
      </c>
      <c r="E182" s="117"/>
      <c r="F182" s="131">
        <f>SUM(D182:E182)</f>
        <v>0</v>
      </c>
    </row>
    <row r="183" spans="1:6" ht="10.5" customHeight="1">
      <c r="A183" s="334"/>
      <c r="B183" s="353" t="s">
        <v>346</v>
      </c>
      <c r="C183" s="116" t="s">
        <v>332</v>
      </c>
      <c r="D183" s="117"/>
      <c r="E183" s="117"/>
      <c r="F183" s="131"/>
    </row>
    <row r="184" spans="1:6" ht="10.5" customHeight="1">
      <c r="A184" s="334"/>
      <c r="B184" s="353"/>
      <c r="C184" s="64" t="s">
        <v>434</v>
      </c>
      <c r="D184" s="117">
        <v>7000</v>
      </c>
      <c r="E184" s="117"/>
      <c r="F184" s="131">
        <f>SUM(D184:E184)</f>
        <v>7000</v>
      </c>
    </row>
    <row r="185" spans="1:6" ht="10.5" customHeight="1">
      <c r="A185" s="334"/>
      <c r="B185" s="353"/>
      <c r="C185" s="64" t="s">
        <v>435</v>
      </c>
      <c r="D185" s="117">
        <v>7000</v>
      </c>
      <c r="E185" s="117"/>
      <c r="F185" s="131">
        <f>SUM(D185:E185)</f>
        <v>7000</v>
      </c>
    </row>
    <row r="186" spans="1:6" ht="10.5" customHeight="1">
      <c r="A186" s="334"/>
      <c r="B186" s="353"/>
      <c r="C186" s="64" t="s">
        <v>436</v>
      </c>
      <c r="D186" s="117">
        <f>3219+3173</f>
        <v>6392</v>
      </c>
      <c r="E186" s="117"/>
      <c r="F186" s="131">
        <f>SUM(D186:E186)</f>
        <v>6392</v>
      </c>
    </row>
    <row r="187" spans="1:6" ht="10.5" customHeight="1">
      <c r="A187" s="334"/>
      <c r="B187" s="353" t="s">
        <v>347</v>
      </c>
      <c r="C187" s="116" t="s">
        <v>189</v>
      </c>
      <c r="D187" s="117"/>
      <c r="E187" s="117"/>
      <c r="F187" s="131"/>
    </row>
    <row r="188" spans="1:6" ht="10.5" customHeight="1">
      <c r="A188" s="334"/>
      <c r="B188" s="353"/>
      <c r="C188" s="64" t="s">
        <v>434</v>
      </c>
      <c r="D188" s="117">
        <v>11250</v>
      </c>
      <c r="E188" s="117"/>
      <c r="F188" s="131">
        <f>SUM(D188:E188)</f>
        <v>11250</v>
      </c>
    </row>
    <row r="189" spans="1:6" ht="10.5" customHeight="1">
      <c r="A189" s="334"/>
      <c r="B189" s="353"/>
      <c r="C189" s="64" t="s">
        <v>435</v>
      </c>
      <c r="D189" s="117">
        <v>1711</v>
      </c>
      <c r="E189" s="117"/>
      <c r="F189" s="131">
        <f>SUM(D189:E189)</f>
        <v>1711</v>
      </c>
    </row>
    <row r="190" spans="1:6" ht="10.5" customHeight="1">
      <c r="A190" s="334"/>
      <c r="B190" s="353"/>
      <c r="C190" s="64" t="s">
        <v>436</v>
      </c>
      <c r="D190" s="117">
        <v>0</v>
      </c>
      <c r="E190" s="117"/>
      <c r="F190" s="131">
        <f>SUM(D190:E190)</f>
        <v>0</v>
      </c>
    </row>
    <row r="191" spans="1:6" ht="10.5" customHeight="1">
      <c r="A191" s="334"/>
      <c r="B191" s="353" t="s">
        <v>348</v>
      </c>
      <c r="C191" s="116" t="s">
        <v>355</v>
      </c>
      <c r="D191" s="117"/>
      <c r="E191" s="117"/>
      <c r="F191" s="131"/>
    </row>
    <row r="192" spans="1:6" ht="10.5" customHeight="1">
      <c r="A192" s="334"/>
      <c r="B192" s="353"/>
      <c r="C192" s="64" t="s">
        <v>434</v>
      </c>
      <c r="D192" s="117">
        <v>500</v>
      </c>
      <c r="E192" s="117"/>
      <c r="F192" s="131">
        <f>SUM(D192:E192)</f>
        <v>500</v>
      </c>
    </row>
    <row r="193" spans="1:6" ht="10.5" customHeight="1">
      <c r="A193" s="334"/>
      <c r="B193" s="353"/>
      <c r="C193" s="64" t="s">
        <v>435</v>
      </c>
      <c r="D193" s="117">
        <v>500</v>
      </c>
      <c r="E193" s="117"/>
      <c r="F193" s="131">
        <f>SUM(D193:E193)</f>
        <v>500</v>
      </c>
    </row>
    <row r="194" spans="1:6" ht="10.5" customHeight="1">
      <c r="A194" s="334"/>
      <c r="B194" s="353"/>
      <c r="C194" s="64" t="s">
        <v>436</v>
      </c>
      <c r="D194" s="117">
        <v>0</v>
      </c>
      <c r="E194" s="117"/>
      <c r="F194" s="131">
        <f>SUM(D194:E194)</f>
        <v>0</v>
      </c>
    </row>
    <row r="195" spans="1:6" ht="10.5" customHeight="1">
      <c r="A195" s="334"/>
      <c r="B195" s="353" t="s">
        <v>349</v>
      </c>
      <c r="C195" s="116" t="s">
        <v>333</v>
      </c>
      <c r="D195" s="117"/>
      <c r="E195" s="117"/>
      <c r="F195" s="131"/>
    </row>
    <row r="196" spans="1:6" ht="10.5" customHeight="1">
      <c r="A196" s="334"/>
      <c r="B196" s="353"/>
      <c r="C196" s="64" t="s">
        <v>434</v>
      </c>
      <c r="D196" s="117">
        <v>500</v>
      </c>
      <c r="E196" s="117"/>
      <c r="F196" s="131">
        <f>SUM(D196:E196)</f>
        <v>500</v>
      </c>
    </row>
    <row r="197" spans="1:6" ht="10.5" customHeight="1">
      <c r="A197" s="334"/>
      <c r="B197" s="353"/>
      <c r="C197" s="64" t="s">
        <v>435</v>
      </c>
      <c r="D197" s="117">
        <v>500</v>
      </c>
      <c r="E197" s="117"/>
      <c r="F197" s="131">
        <f>SUM(D197:E197)</f>
        <v>500</v>
      </c>
    </row>
    <row r="198" spans="1:6" ht="10.5" customHeight="1">
      <c r="A198" s="334"/>
      <c r="B198" s="353"/>
      <c r="C198" s="64" t="s">
        <v>436</v>
      </c>
      <c r="D198" s="117">
        <v>0</v>
      </c>
      <c r="E198" s="117"/>
      <c r="F198" s="131">
        <f>SUM(D198:E198)</f>
        <v>0</v>
      </c>
    </row>
    <row r="199" spans="1:6" ht="10.5" customHeight="1">
      <c r="A199" s="334"/>
      <c r="B199" s="353" t="s">
        <v>350</v>
      </c>
      <c r="C199" s="116" t="s">
        <v>190</v>
      </c>
      <c r="D199" s="117"/>
      <c r="E199" s="117"/>
      <c r="F199" s="131"/>
    </row>
    <row r="200" spans="1:6" ht="10.5" customHeight="1">
      <c r="A200" s="334"/>
      <c r="B200" s="353"/>
      <c r="C200" s="64" t="s">
        <v>434</v>
      </c>
      <c r="D200" s="117">
        <v>700</v>
      </c>
      <c r="E200" s="117"/>
      <c r="F200" s="131">
        <f>SUM(D200:E200)</f>
        <v>700</v>
      </c>
    </row>
    <row r="201" spans="1:6" ht="10.5" customHeight="1">
      <c r="A201" s="334"/>
      <c r="B201" s="353"/>
      <c r="C201" s="64" t="s">
        <v>435</v>
      </c>
      <c r="D201" s="117">
        <v>700</v>
      </c>
      <c r="E201" s="117"/>
      <c r="F201" s="131">
        <f>SUM(D201:E201)</f>
        <v>700</v>
      </c>
    </row>
    <row r="202" spans="1:6" ht="10.5" customHeight="1">
      <c r="A202" s="334"/>
      <c r="B202" s="353"/>
      <c r="C202" s="64" t="s">
        <v>436</v>
      </c>
      <c r="D202" s="117">
        <f>28+46+155+52+49+70+37+180+36+15+25+24+21+6+32</f>
        <v>776</v>
      </c>
      <c r="E202" s="117"/>
      <c r="F202" s="131">
        <f>SUM(D202:E202)</f>
        <v>776</v>
      </c>
    </row>
    <row r="203" spans="1:6" ht="10.5" customHeight="1">
      <c r="A203" s="334"/>
      <c r="B203" s="353" t="s">
        <v>351</v>
      </c>
      <c r="C203" s="116" t="s">
        <v>727</v>
      </c>
      <c r="D203" s="117"/>
      <c r="E203" s="117"/>
      <c r="F203" s="131"/>
    </row>
    <row r="204" spans="1:6" ht="10.5" customHeight="1">
      <c r="A204" s="334"/>
      <c r="B204" s="353"/>
      <c r="C204" s="64" t="s">
        <v>434</v>
      </c>
      <c r="D204" s="117">
        <v>28500</v>
      </c>
      <c r="E204" s="117"/>
      <c r="F204" s="131">
        <f>SUM(D204:E204)</f>
        <v>28500</v>
      </c>
    </row>
    <row r="205" spans="1:6" ht="10.5" customHeight="1">
      <c r="A205" s="334"/>
      <c r="B205" s="353"/>
      <c r="C205" s="64" t="s">
        <v>435</v>
      </c>
      <c r="D205" s="117">
        <v>1191</v>
      </c>
      <c r="E205" s="117"/>
      <c r="F205" s="131">
        <f>SUM(D205:E205)</f>
        <v>1191</v>
      </c>
    </row>
    <row r="206" spans="1:6" ht="10.5" customHeight="1">
      <c r="A206" s="334"/>
      <c r="B206" s="353"/>
      <c r="C206" s="64" t="s">
        <v>436</v>
      </c>
      <c r="D206" s="117">
        <v>0</v>
      </c>
      <c r="E206" s="117"/>
      <c r="F206" s="131">
        <f>SUM(D206:E206)</f>
        <v>0</v>
      </c>
    </row>
    <row r="207" spans="1:6" ht="10.5" customHeight="1">
      <c r="A207" s="334"/>
      <c r="B207" s="353" t="s">
        <v>352</v>
      </c>
      <c r="C207" s="116" t="s">
        <v>191</v>
      </c>
      <c r="D207" s="117"/>
      <c r="E207" s="117"/>
      <c r="F207" s="131"/>
    </row>
    <row r="208" spans="1:6" ht="10.5" customHeight="1">
      <c r="A208" s="334"/>
      <c r="B208" s="353"/>
      <c r="C208" s="64" t="s">
        <v>434</v>
      </c>
      <c r="D208" s="117">
        <v>3974</v>
      </c>
      <c r="E208" s="117"/>
      <c r="F208" s="131">
        <f>SUM(D208:E208)</f>
        <v>3974</v>
      </c>
    </row>
    <row r="209" spans="1:6" ht="10.5" customHeight="1">
      <c r="A209" s="334"/>
      <c r="B209" s="353"/>
      <c r="C209" s="64" t="s">
        <v>435</v>
      </c>
      <c r="D209" s="117">
        <v>2175</v>
      </c>
      <c r="E209" s="117"/>
      <c r="F209" s="131">
        <f>SUM(D209:E209)</f>
        <v>2175</v>
      </c>
    </row>
    <row r="210" spans="1:6" ht="10.5" customHeight="1">
      <c r="A210" s="334"/>
      <c r="B210" s="353"/>
      <c r="C210" s="64" t="s">
        <v>436</v>
      </c>
      <c r="D210" s="117">
        <v>2076</v>
      </c>
      <c r="E210" s="117"/>
      <c r="F210" s="131">
        <f>SUM(D210:E210)</f>
        <v>2076</v>
      </c>
    </row>
    <row r="211" spans="1:6" ht="10.5" customHeight="1">
      <c r="A211" s="334"/>
      <c r="B211" s="353" t="s">
        <v>353</v>
      </c>
      <c r="C211" s="336" t="s">
        <v>404</v>
      </c>
      <c r="D211" s="117"/>
      <c r="E211" s="117"/>
      <c r="F211" s="131"/>
    </row>
    <row r="212" spans="1:6" ht="10.5" customHeight="1">
      <c r="A212" s="334"/>
      <c r="B212" s="353"/>
      <c r="C212" s="64" t="s">
        <v>434</v>
      </c>
      <c r="D212" s="117">
        <v>4000</v>
      </c>
      <c r="E212" s="117"/>
      <c r="F212" s="131">
        <f>SUM(D212:E212)</f>
        <v>4000</v>
      </c>
    </row>
    <row r="213" spans="1:6" ht="10.5" customHeight="1">
      <c r="A213" s="334"/>
      <c r="B213" s="353"/>
      <c r="C213" s="64" t="s">
        <v>435</v>
      </c>
      <c r="D213" s="117">
        <v>4000</v>
      </c>
      <c r="E213" s="117"/>
      <c r="F213" s="131">
        <f>SUM(D213:E213)</f>
        <v>4000</v>
      </c>
    </row>
    <row r="214" spans="1:6" ht="10.5" customHeight="1">
      <c r="A214" s="334"/>
      <c r="B214" s="353"/>
      <c r="C214" s="64" t="s">
        <v>436</v>
      </c>
      <c r="D214" s="117">
        <f>1180+714+742+626</f>
        <v>3262</v>
      </c>
      <c r="E214" s="117"/>
      <c r="F214" s="131">
        <f>SUM(D214:E214)</f>
        <v>3262</v>
      </c>
    </row>
    <row r="215" spans="1:6" ht="10.5" customHeight="1">
      <c r="A215" s="334"/>
      <c r="B215" s="353" t="s">
        <v>354</v>
      </c>
      <c r="C215" s="80" t="s">
        <v>393</v>
      </c>
      <c r="D215" s="117"/>
      <c r="E215" s="117"/>
      <c r="F215" s="131"/>
    </row>
    <row r="216" spans="1:6" ht="10.5" customHeight="1">
      <c r="A216" s="334"/>
      <c r="B216" s="353"/>
      <c r="C216" s="64" t="s">
        <v>434</v>
      </c>
      <c r="D216" s="117">
        <v>1200</v>
      </c>
      <c r="E216" s="117"/>
      <c r="F216" s="131">
        <f>SUM(D216:E216)</f>
        <v>1200</v>
      </c>
    </row>
    <row r="217" spans="1:6" ht="10.5" customHeight="1">
      <c r="A217" s="334"/>
      <c r="B217" s="353"/>
      <c r="C217" s="64" t="s">
        <v>435</v>
      </c>
      <c r="D217" s="117">
        <v>1800</v>
      </c>
      <c r="E217" s="117"/>
      <c r="F217" s="131">
        <f>SUM(D217:E217)</f>
        <v>1800</v>
      </c>
    </row>
    <row r="218" spans="1:6" ht="10.5" customHeight="1">
      <c r="A218" s="334"/>
      <c r="B218" s="353"/>
      <c r="C218" s="64" t="s">
        <v>436</v>
      </c>
      <c r="D218" s="117">
        <f>176+128+68+162+275+170+150+120+190+8+135+197+23</f>
        <v>1802</v>
      </c>
      <c r="E218" s="117"/>
      <c r="F218" s="131">
        <f>SUM(D218:E218)</f>
        <v>1802</v>
      </c>
    </row>
    <row r="219" spans="1:6" ht="10.5" customHeight="1">
      <c r="A219" s="334"/>
      <c r="B219" s="353" t="s">
        <v>426</v>
      </c>
      <c r="C219" s="80" t="s">
        <v>428</v>
      </c>
      <c r="D219" s="117"/>
      <c r="E219" s="117"/>
      <c r="F219" s="131"/>
    </row>
    <row r="220" spans="1:6" ht="10.5" customHeight="1">
      <c r="A220" s="334"/>
      <c r="B220" s="353"/>
      <c r="C220" s="64" t="s">
        <v>434</v>
      </c>
      <c r="D220" s="117">
        <v>3000</v>
      </c>
      <c r="E220" s="117"/>
      <c r="F220" s="131">
        <f>SUM(D220:E220)</f>
        <v>3000</v>
      </c>
    </row>
    <row r="221" spans="1:6" ht="10.5" customHeight="1">
      <c r="A221" s="334"/>
      <c r="B221" s="353"/>
      <c r="C221" s="64" t="s">
        <v>435</v>
      </c>
      <c r="D221" s="117">
        <v>2200</v>
      </c>
      <c r="E221" s="117"/>
      <c r="F221" s="131">
        <f>SUM(D221:E221)</f>
        <v>2200</v>
      </c>
    </row>
    <row r="222" spans="1:6" ht="10.5" customHeight="1">
      <c r="A222" s="334"/>
      <c r="B222" s="353"/>
      <c r="C222" s="64" t="s">
        <v>436</v>
      </c>
      <c r="D222" s="117">
        <v>0</v>
      </c>
      <c r="E222" s="117"/>
      <c r="F222" s="131">
        <f>SUM(D222:E222)</f>
        <v>0</v>
      </c>
    </row>
    <row r="223" spans="1:6" ht="20.25" customHeight="1">
      <c r="A223" s="334"/>
      <c r="B223" s="353" t="s">
        <v>427</v>
      </c>
      <c r="C223" s="88" t="s">
        <v>467</v>
      </c>
      <c r="D223" s="117"/>
      <c r="E223" s="117"/>
      <c r="F223" s="131"/>
    </row>
    <row r="224" spans="1:6" ht="10.5" customHeight="1">
      <c r="A224" s="334"/>
      <c r="B224" s="353"/>
      <c r="C224" s="64" t="s">
        <v>434</v>
      </c>
      <c r="D224" s="117">
        <v>1279</v>
      </c>
      <c r="E224" s="117"/>
      <c r="F224" s="131">
        <f>SUM(D224:E224)</f>
        <v>1279</v>
      </c>
    </row>
    <row r="225" spans="1:6" ht="10.5" customHeight="1">
      <c r="A225" s="334"/>
      <c r="B225" s="353"/>
      <c r="C225" s="64" t="s">
        <v>435</v>
      </c>
      <c r="D225" s="117">
        <v>1279</v>
      </c>
      <c r="E225" s="117"/>
      <c r="F225" s="131">
        <f>SUM(D225:E225)</f>
        <v>1279</v>
      </c>
    </row>
    <row r="226" spans="1:6" ht="10.5" customHeight="1">
      <c r="A226" s="334"/>
      <c r="B226" s="353"/>
      <c r="C226" s="64" t="s">
        <v>436</v>
      </c>
      <c r="D226" s="117">
        <v>0</v>
      </c>
      <c r="E226" s="117"/>
      <c r="F226" s="131">
        <f>SUM(D226:E226)</f>
        <v>0</v>
      </c>
    </row>
    <row r="227" spans="1:6" ht="10.5" customHeight="1">
      <c r="A227" s="334"/>
      <c r="B227" s="353" t="s">
        <v>463</v>
      </c>
      <c r="C227" s="80" t="s">
        <v>499</v>
      </c>
      <c r="D227" s="117"/>
      <c r="E227" s="117"/>
      <c r="F227" s="131"/>
    </row>
    <row r="228" spans="1:6" ht="10.5" customHeight="1">
      <c r="A228" s="334"/>
      <c r="B228" s="353"/>
      <c r="C228" s="64" t="s">
        <v>434</v>
      </c>
      <c r="D228" s="117">
        <v>27386</v>
      </c>
      <c r="E228" s="117"/>
      <c r="F228" s="131">
        <f>D228</f>
        <v>27386</v>
      </c>
    </row>
    <row r="229" spans="1:6" ht="10.5" customHeight="1">
      <c r="A229" s="334"/>
      <c r="B229" s="353"/>
      <c r="C229" s="64" t="s">
        <v>435</v>
      </c>
      <c r="D229" s="117">
        <v>25618</v>
      </c>
      <c r="E229" s="117">
        <v>350</v>
      </c>
      <c r="F229" s="131">
        <f>SUM(D229:E229)</f>
        <v>25968</v>
      </c>
    </row>
    <row r="230" spans="1:6" ht="10.5" customHeight="1">
      <c r="A230" s="334"/>
      <c r="B230" s="353"/>
      <c r="C230" s="64" t="s">
        <v>436</v>
      </c>
      <c r="D230" s="117">
        <f>1415+463+472+471+7900+742+4740+342+1580+472+779+472+1580+220+350+472+1364+776+472+471-1</f>
        <v>25552</v>
      </c>
      <c r="E230" s="117">
        <v>130</v>
      </c>
      <c r="F230" s="131">
        <f>SUM(D230:E230)</f>
        <v>25682</v>
      </c>
    </row>
    <row r="231" spans="1:6" ht="10.5" customHeight="1">
      <c r="A231" s="334"/>
      <c r="B231" s="353" t="s">
        <v>464</v>
      </c>
      <c r="C231" s="88" t="s">
        <v>500</v>
      </c>
      <c r="D231" s="117"/>
      <c r="E231" s="117"/>
      <c r="F231" s="131"/>
    </row>
    <row r="232" spans="1:6" ht="10.5" customHeight="1">
      <c r="A232" s="334"/>
      <c r="B232" s="353"/>
      <c r="C232" s="64" t="s">
        <v>434</v>
      </c>
      <c r="D232" s="117">
        <v>600</v>
      </c>
      <c r="E232" s="117"/>
      <c r="F232" s="131">
        <f>D232</f>
        <v>600</v>
      </c>
    </row>
    <row r="233" spans="1:6" ht="10.5" customHeight="1">
      <c r="A233" s="334"/>
      <c r="B233" s="353"/>
      <c r="C233" s="64" t="s">
        <v>435</v>
      </c>
      <c r="D233" s="117">
        <v>800</v>
      </c>
      <c r="E233" s="117"/>
      <c r="F233" s="131">
        <f>SUM(D233:E233)</f>
        <v>800</v>
      </c>
    </row>
    <row r="234" spans="1:6" ht="10.5" customHeight="1">
      <c r="A234" s="334"/>
      <c r="B234" s="353"/>
      <c r="C234" s="64" t="s">
        <v>436</v>
      </c>
      <c r="D234" s="117">
        <f>20+70+10+6+6+6</f>
        <v>118</v>
      </c>
      <c r="E234" s="117"/>
      <c r="F234" s="131">
        <f>SUM(D234:E234)</f>
        <v>118</v>
      </c>
    </row>
    <row r="235" spans="1:6" ht="10.5" customHeight="1">
      <c r="A235" s="334"/>
      <c r="B235" s="353" t="s">
        <v>465</v>
      </c>
      <c r="C235" s="59" t="s">
        <v>513</v>
      </c>
      <c r="D235" s="117"/>
      <c r="E235" s="117"/>
      <c r="F235" s="131"/>
    </row>
    <row r="236" spans="1:6" ht="10.5" customHeight="1">
      <c r="A236" s="334"/>
      <c r="B236" s="353"/>
      <c r="C236" s="64" t="s">
        <v>434</v>
      </c>
      <c r="D236" s="117">
        <v>1500</v>
      </c>
      <c r="E236" s="117"/>
      <c r="F236" s="131">
        <f>D236</f>
        <v>1500</v>
      </c>
    </row>
    <row r="237" spans="1:6" ht="10.5" customHeight="1">
      <c r="A237" s="334"/>
      <c r="B237" s="353"/>
      <c r="C237" s="64" t="s">
        <v>435</v>
      </c>
      <c r="D237" s="117">
        <v>1390</v>
      </c>
      <c r="E237" s="117"/>
      <c r="F237" s="131">
        <f>SUM(D237:E237)</f>
        <v>1390</v>
      </c>
    </row>
    <row r="238" spans="1:6" ht="10.5" customHeight="1">
      <c r="A238" s="334"/>
      <c r="B238" s="353"/>
      <c r="C238" s="64" t="s">
        <v>436</v>
      </c>
      <c r="D238" s="117">
        <v>0</v>
      </c>
      <c r="E238" s="117"/>
      <c r="F238" s="131">
        <f>SUM(D238:E238)</f>
        <v>0</v>
      </c>
    </row>
    <row r="239" spans="1:6" ht="10.5" customHeight="1">
      <c r="A239" s="334"/>
      <c r="B239" s="353" t="s">
        <v>466</v>
      </c>
      <c r="C239" s="80" t="s">
        <v>501</v>
      </c>
      <c r="D239" s="117"/>
      <c r="E239" s="117"/>
      <c r="F239" s="131"/>
    </row>
    <row r="240" spans="1:6" ht="10.5" customHeight="1">
      <c r="A240" s="334"/>
      <c r="B240" s="353"/>
      <c r="C240" s="64" t="s">
        <v>434</v>
      </c>
      <c r="D240" s="117">
        <v>0</v>
      </c>
      <c r="E240" s="117"/>
      <c r="F240" s="131">
        <f>D240</f>
        <v>0</v>
      </c>
    </row>
    <row r="241" spans="1:6" ht="10.5" customHeight="1">
      <c r="A241" s="334"/>
      <c r="B241" s="353"/>
      <c r="C241" s="64" t="s">
        <v>435</v>
      </c>
      <c r="D241" s="117">
        <v>0</v>
      </c>
      <c r="E241" s="117"/>
      <c r="F241" s="131">
        <f>SUM(D241:E241)</f>
        <v>0</v>
      </c>
    </row>
    <row r="242" spans="1:6" ht="10.5" customHeight="1">
      <c r="A242" s="334"/>
      <c r="B242" s="353"/>
      <c r="C242" s="64" t="s">
        <v>436</v>
      </c>
      <c r="D242" s="117">
        <v>0</v>
      </c>
      <c r="E242" s="117"/>
      <c r="F242" s="131">
        <f>SUM(D242:E242)</f>
        <v>0</v>
      </c>
    </row>
    <row r="243" spans="1:6" ht="10.5" customHeight="1">
      <c r="A243" s="354"/>
      <c r="B243" s="353" t="s">
        <v>468</v>
      </c>
      <c r="C243" s="80" t="s">
        <v>502</v>
      </c>
      <c r="D243" s="117"/>
      <c r="E243" s="117"/>
      <c r="F243" s="131"/>
    </row>
    <row r="244" spans="1:6" ht="10.5" customHeight="1">
      <c r="A244" s="354"/>
      <c r="B244" s="353"/>
      <c r="C244" s="64" t="s">
        <v>434</v>
      </c>
      <c r="D244" s="117">
        <v>0</v>
      </c>
      <c r="E244" s="117"/>
      <c r="F244" s="131">
        <f>SUM(D244:E244)</f>
        <v>0</v>
      </c>
    </row>
    <row r="245" spans="1:6" ht="10.5" customHeight="1">
      <c r="A245" s="354"/>
      <c r="B245" s="353"/>
      <c r="C245" s="64" t="s">
        <v>435</v>
      </c>
      <c r="D245" s="117">
        <v>0</v>
      </c>
      <c r="E245" s="117"/>
      <c r="F245" s="131">
        <f>SUM(D245:E245)</f>
        <v>0</v>
      </c>
    </row>
    <row r="246" spans="1:6" ht="10.5" customHeight="1">
      <c r="A246" s="354"/>
      <c r="B246" s="353"/>
      <c r="C246" s="64" t="s">
        <v>436</v>
      </c>
      <c r="D246" s="117">
        <v>0</v>
      </c>
      <c r="E246" s="117"/>
      <c r="F246" s="131">
        <f>SUM(D246:E246)</f>
        <v>0</v>
      </c>
    </row>
    <row r="247" spans="1:6" ht="10.5" customHeight="1">
      <c r="A247" s="334"/>
      <c r="B247" s="353" t="s">
        <v>478</v>
      </c>
      <c r="C247" s="80" t="s">
        <v>581</v>
      </c>
      <c r="D247" s="117"/>
      <c r="E247" s="117"/>
      <c r="F247" s="131"/>
    </row>
    <row r="248" spans="1:6" ht="10.5" customHeight="1">
      <c r="A248" s="334"/>
      <c r="B248" s="353"/>
      <c r="C248" s="64" t="s">
        <v>434</v>
      </c>
      <c r="D248" s="117">
        <v>2065</v>
      </c>
      <c r="E248" s="117"/>
      <c r="F248" s="131">
        <f>D248</f>
        <v>2065</v>
      </c>
    </row>
    <row r="249" spans="1:6" ht="10.5" customHeight="1">
      <c r="A249" s="334"/>
      <c r="B249" s="353"/>
      <c r="C249" s="64" t="s">
        <v>435</v>
      </c>
      <c r="D249" s="117">
        <v>2065</v>
      </c>
      <c r="E249" s="117"/>
      <c r="F249" s="131">
        <f aca="true" t="shared" si="4" ref="F249:F262">D249</f>
        <v>2065</v>
      </c>
    </row>
    <row r="250" spans="1:6" ht="10.5" customHeight="1">
      <c r="A250" s="334"/>
      <c r="B250" s="353"/>
      <c r="C250" s="64" t="s">
        <v>436</v>
      </c>
      <c r="D250" s="117">
        <v>1935</v>
      </c>
      <c r="E250" s="117"/>
      <c r="F250" s="131">
        <f t="shared" si="4"/>
        <v>1935</v>
      </c>
    </row>
    <row r="251" spans="1:6" ht="10.5" customHeight="1">
      <c r="A251" s="334"/>
      <c r="B251" s="353" t="s">
        <v>621</v>
      </c>
      <c r="C251" s="80" t="s">
        <v>589</v>
      </c>
      <c r="D251" s="117"/>
      <c r="E251" s="117"/>
      <c r="F251" s="131"/>
    </row>
    <row r="252" spans="1:6" ht="10.5" customHeight="1">
      <c r="A252" s="334"/>
      <c r="B252" s="353"/>
      <c r="C252" s="64" t="s">
        <v>434</v>
      </c>
      <c r="D252" s="117">
        <v>40062</v>
      </c>
      <c r="E252" s="117"/>
      <c r="F252" s="131">
        <f t="shared" si="4"/>
        <v>40062</v>
      </c>
    </row>
    <row r="253" spans="1:6" ht="10.5" customHeight="1">
      <c r="A253" s="334"/>
      <c r="B253" s="353"/>
      <c r="C253" s="64" t="s">
        <v>435</v>
      </c>
      <c r="D253" s="117">
        <v>0</v>
      </c>
      <c r="E253" s="117"/>
      <c r="F253" s="131">
        <f t="shared" si="4"/>
        <v>0</v>
      </c>
    </row>
    <row r="254" spans="1:6" ht="10.5" customHeight="1">
      <c r="A254" s="334"/>
      <c r="B254" s="353"/>
      <c r="C254" s="64" t="s">
        <v>436</v>
      </c>
      <c r="D254" s="117">
        <v>0</v>
      </c>
      <c r="E254" s="117"/>
      <c r="F254" s="131">
        <f t="shared" si="4"/>
        <v>0</v>
      </c>
    </row>
    <row r="255" spans="1:6" ht="10.5" customHeight="1">
      <c r="A255" s="334"/>
      <c r="B255" s="353" t="s">
        <v>622</v>
      </c>
      <c r="C255" s="80" t="s">
        <v>590</v>
      </c>
      <c r="D255" s="117"/>
      <c r="E255" s="117"/>
      <c r="F255" s="131"/>
    </row>
    <row r="256" spans="1:6" ht="10.5" customHeight="1">
      <c r="A256" s="334"/>
      <c r="B256" s="353"/>
      <c r="C256" s="64" t="s">
        <v>434</v>
      </c>
      <c r="D256" s="117">
        <v>0</v>
      </c>
      <c r="E256" s="117"/>
      <c r="F256" s="131">
        <f t="shared" si="4"/>
        <v>0</v>
      </c>
    </row>
    <row r="257" spans="1:6" ht="10.5" customHeight="1">
      <c r="A257" s="334"/>
      <c r="B257" s="353"/>
      <c r="C257" s="64" t="s">
        <v>435</v>
      </c>
      <c r="D257" s="117">
        <v>6312</v>
      </c>
      <c r="E257" s="117"/>
      <c r="F257" s="131">
        <f t="shared" si="4"/>
        <v>6312</v>
      </c>
    </row>
    <row r="258" spans="1:6" ht="10.5" customHeight="1">
      <c r="A258" s="334"/>
      <c r="B258" s="353"/>
      <c r="C258" s="64" t="s">
        <v>436</v>
      </c>
      <c r="D258" s="117">
        <f>3450+2862</f>
        <v>6312</v>
      </c>
      <c r="E258" s="117"/>
      <c r="F258" s="131">
        <f t="shared" si="4"/>
        <v>6312</v>
      </c>
    </row>
    <row r="259" spans="1:6" ht="10.5" customHeight="1">
      <c r="A259" s="334"/>
      <c r="B259" s="353" t="s">
        <v>623</v>
      </c>
      <c r="C259" s="80" t="s">
        <v>588</v>
      </c>
      <c r="D259" s="117"/>
      <c r="E259" s="117"/>
      <c r="F259" s="131"/>
    </row>
    <row r="260" spans="1:6" ht="10.5" customHeight="1">
      <c r="A260" s="334"/>
      <c r="B260" s="353"/>
      <c r="C260" s="64" t="s">
        <v>434</v>
      </c>
      <c r="D260" s="117">
        <v>0</v>
      </c>
      <c r="E260" s="117"/>
      <c r="F260" s="131">
        <f t="shared" si="4"/>
        <v>0</v>
      </c>
    </row>
    <row r="261" spans="1:6" ht="10.5" customHeight="1">
      <c r="A261" s="334"/>
      <c r="B261" s="353"/>
      <c r="C261" s="64" t="s">
        <v>435</v>
      </c>
      <c r="D261" s="117">
        <v>1887</v>
      </c>
      <c r="E261" s="117"/>
      <c r="F261" s="131">
        <f t="shared" si="4"/>
        <v>1887</v>
      </c>
    </row>
    <row r="262" spans="1:6" ht="10.5" customHeight="1">
      <c r="A262" s="337"/>
      <c r="B262" s="355"/>
      <c r="C262" s="432" t="s">
        <v>436</v>
      </c>
      <c r="D262" s="146">
        <v>2121</v>
      </c>
      <c r="E262" s="146"/>
      <c r="F262" s="157">
        <f t="shared" si="4"/>
        <v>2121</v>
      </c>
    </row>
    <row r="263" spans="1:6" ht="10.5" customHeight="1">
      <c r="A263" s="354"/>
      <c r="B263" s="353" t="s">
        <v>677</v>
      </c>
      <c r="C263" s="80" t="s">
        <v>587</v>
      </c>
      <c r="D263" s="117"/>
      <c r="E263" s="117"/>
      <c r="F263" s="131"/>
    </row>
    <row r="264" spans="1:6" ht="10.5" customHeight="1">
      <c r="A264" s="354"/>
      <c r="B264" s="353"/>
      <c r="C264" s="64" t="s">
        <v>434</v>
      </c>
      <c r="D264" s="117">
        <v>0</v>
      </c>
      <c r="E264" s="117"/>
      <c r="F264" s="131">
        <f>D264+E264</f>
        <v>0</v>
      </c>
    </row>
    <row r="265" spans="1:6" ht="10.5" customHeight="1">
      <c r="A265" s="354"/>
      <c r="B265" s="353"/>
      <c r="C265" s="64" t="s">
        <v>435</v>
      </c>
      <c r="D265" s="117">
        <v>6983</v>
      </c>
      <c r="E265" s="117"/>
      <c r="F265" s="131">
        <f aca="true" t="shared" si="5" ref="F265:F274">D265+E265</f>
        <v>6983</v>
      </c>
    </row>
    <row r="266" spans="1:6" ht="10.5" customHeight="1">
      <c r="A266" s="354"/>
      <c r="B266" s="353"/>
      <c r="C266" s="432" t="s">
        <v>436</v>
      </c>
      <c r="D266" s="117">
        <f>5010+6983</f>
        <v>11993</v>
      </c>
      <c r="E266" s="117"/>
      <c r="F266" s="131">
        <f t="shared" si="5"/>
        <v>11993</v>
      </c>
    </row>
    <row r="267" spans="1:6" ht="10.5" customHeight="1">
      <c r="A267" s="354"/>
      <c r="B267" s="353" t="s">
        <v>678</v>
      </c>
      <c r="C267" s="80" t="s">
        <v>586</v>
      </c>
      <c r="D267" s="117"/>
      <c r="E267" s="117"/>
      <c r="F267" s="131"/>
    </row>
    <row r="268" spans="1:6" ht="10.5" customHeight="1">
      <c r="A268" s="354"/>
      <c r="B268" s="353"/>
      <c r="C268" s="64" t="s">
        <v>434</v>
      </c>
      <c r="D268" s="117">
        <v>0</v>
      </c>
      <c r="E268" s="117"/>
      <c r="F268" s="131">
        <f t="shared" si="5"/>
        <v>0</v>
      </c>
    </row>
    <row r="269" spans="1:6" ht="10.5" customHeight="1">
      <c r="A269" s="354"/>
      <c r="B269" s="353"/>
      <c r="C269" s="64" t="s">
        <v>435</v>
      </c>
      <c r="D269" s="117">
        <v>250</v>
      </c>
      <c r="E269" s="117"/>
      <c r="F269" s="131">
        <f t="shared" si="5"/>
        <v>250</v>
      </c>
    </row>
    <row r="270" spans="1:6" ht="10.5" customHeight="1">
      <c r="A270" s="354"/>
      <c r="B270" s="353"/>
      <c r="C270" s="432" t="s">
        <v>436</v>
      </c>
      <c r="D270" s="117">
        <v>0</v>
      </c>
      <c r="E270" s="117"/>
      <c r="F270" s="131">
        <f t="shared" si="5"/>
        <v>0</v>
      </c>
    </row>
    <row r="271" spans="1:6" ht="10.5" customHeight="1">
      <c r="A271" s="354"/>
      <c r="B271" s="353" t="s">
        <v>679</v>
      </c>
      <c r="C271" s="80" t="s">
        <v>585</v>
      </c>
      <c r="D271" s="117"/>
      <c r="E271" s="117"/>
      <c r="F271" s="131"/>
    </row>
    <row r="272" spans="1:6" ht="10.5" customHeight="1">
      <c r="A272" s="354"/>
      <c r="B272" s="353"/>
      <c r="C272" s="64" t="s">
        <v>434</v>
      </c>
      <c r="D272" s="117">
        <v>0</v>
      </c>
      <c r="E272" s="117"/>
      <c r="F272" s="131">
        <f t="shared" si="5"/>
        <v>0</v>
      </c>
    </row>
    <row r="273" spans="1:6" ht="10.5" customHeight="1">
      <c r="A273" s="354"/>
      <c r="B273" s="353"/>
      <c r="C273" s="64" t="s">
        <v>435</v>
      </c>
      <c r="D273" s="117">
        <v>2956</v>
      </c>
      <c r="E273" s="117"/>
      <c r="F273" s="131">
        <f t="shared" si="5"/>
        <v>2956</v>
      </c>
    </row>
    <row r="274" spans="1:6" ht="10.5" customHeight="1">
      <c r="A274" s="337"/>
      <c r="B274" s="355"/>
      <c r="C274" s="432" t="s">
        <v>436</v>
      </c>
      <c r="D274" s="146">
        <f>165+2579+174+39</f>
        <v>2957</v>
      </c>
      <c r="E274" s="146"/>
      <c r="F274" s="157">
        <f t="shared" si="5"/>
        <v>2957</v>
      </c>
    </row>
    <row r="275" spans="1:6" ht="10.5" customHeight="1">
      <c r="A275" s="354"/>
      <c r="B275" s="353" t="s">
        <v>681</v>
      </c>
      <c r="C275" s="80" t="s">
        <v>680</v>
      </c>
      <c r="D275" s="117"/>
      <c r="E275" s="117"/>
      <c r="F275" s="131"/>
    </row>
    <row r="276" spans="1:6" ht="10.5" customHeight="1">
      <c r="A276" s="354"/>
      <c r="B276" s="353"/>
      <c r="C276" s="64" t="s">
        <v>434</v>
      </c>
      <c r="D276" s="117">
        <v>0</v>
      </c>
      <c r="E276" s="117"/>
      <c r="F276" s="131">
        <f>D276+E276</f>
        <v>0</v>
      </c>
    </row>
    <row r="277" spans="1:6" ht="10.5" customHeight="1">
      <c r="A277" s="354"/>
      <c r="B277" s="353"/>
      <c r="C277" s="64" t="s">
        <v>435</v>
      </c>
      <c r="D277" s="117">
        <v>170</v>
      </c>
      <c r="E277" s="117"/>
      <c r="F277" s="131">
        <f>D277+E277</f>
        <v>170</v>
      </c>
    </row>
    <row r="278" spans="1:6" ht="10.5" customHeight="1">
      <c r="A278" s="890"/>
      <c r="B278" s="891"/>
      <c r="C278" s="78" t="s">
        <v>436</v>
      </c>
      <c r="D278" s="112">
        <v>170</v>
      </c>
      <c r="E278" s="112"/>
      <c r="F278" s="131">
        <f>D278+E278</f>
        <v>170</v>
      </c>
    </row>
    <row r="279" spans="1:6" ht="10.5" customHeight="1">
      <c r="A279" s="337"/>
      <c r="B279" s="355" t="s">
        <v>738</v>
      </c>
      <c r="C279" s="80" t="s">
        <v>583</v>
      </c>
      <c r="D279" s="146"/>
      <c r="E279" s="146"/>
      <c r="F279" s="135"/>
    </row>
    <row r="280" spans="1:6" ht="10.5" customHeight="1">
      <c r="A280" s="354"/>
      <c r="B280" s="353"/>
      <c r="C280" s="64" t="s">
        <v>434</v>
      </c>
      <c r="D280" s="117">
        <v>0</v>
      </c>
      <c r="E280" s="117"/>
      <c r="F280" s="131">
        <f>D280</f>
        <v>0</v>
      </c>
    </row>
    <row r="281" spans="1:6" ht="10.5" customHeight="1">
      <c r="A281" s="354"/>
      <c r="B281" s="353"/>
      <c r="C281" s="64" t="s">
        <v>435</v>
      </c>
      <c r="D281" s="117">
        <v>320</v>
      </c>
      <c r="E281" s="117"/>
      <c r="F281" s="131">
        <f aca="true" t="shared" si="6" ref="F281:F289">D281</f>
        <v>320</v>
      </c>
    </row>
    <row r="282" spans="1:6" ht="10.5" customHeight="1">
      <c r="A282" s="354"/>
      <c r="B282" s="353"/>
      <c r="C282" s="64" t="s">
        <v>436</v>
      </c>
      <c r="D282" s="117">
        <f>175+145</f>
        <v>320</v>
      </c>
      <c r="E282" s="117"/>
      <c r="F282" s="131">
        <f t="shared" si="6"/>
        <v>320</v>
      </c>
    </row>
    <row r="283" spans="1:6" ht="10.5" customHeight="1">
      <c r="A283" s="354"/>
      <c r="B283" s="353" t="s">
        <v>739</v>
      </c>
      <c r="C283" s="80" t="s">
        <v>201</v>
      </c>
      <c r="D283" s="117"/>
      <c r="E283" s="117"/>
      <c r="F283" s="131" t="s">
        <v>314</v>
      </c>
    </row>
    <row r="284" spans="1:6" ht="10.5" customHeight="1">
      <c r="A284" s="354"/>
      <c r="B284" s="353"/>
      <c r="C284" s="64" t="s">
        <v>434</v>
      </c>
      <c r="D284" s="117">
        <v>0</v>
      </c>
      <c r="E284" s="117"/>
      <c r="F284" s="131">
        <f t="shared" si="6"/>
        <v>0</v>
      </c>
    </row>
    <row r="285" spans="1:6" ht="10.5" customHeight="1">
      <c r="A285" s="354"/>
      <c r="B285" s="353"/>
      <c r="C285" s="64" t="s">
        <v>435</v>
      </c>
      <c r="D285" s="117">
        <v>83</v>
      </c>
      <c r="E285" s="117"/>
      <c r="F285" s="131">
        <f t="shared" si="6"/>
        <v>83</v>
      </c>
    </row>
    <row r="286" spans="1:6" ht="10.5" customHeight="1">
      <c r="A286" s="354"/>
      <c r="B286" s="353"/>
      <c r="C286" s="64" t="s">
        <v>436</v>
      </c>
      <c r="D286" s="117">
        <v>50</v>
      </c>
      <c r="E286" s="117"/>
      <c r="F286" s="131">
        <f t="shared" si="6"/>
        <v>50</v>
      </c>
    </row>
    <row r="287" spans="1:6" ht="10.5" customHeight="1">
      <c r="A287" s="354"/>
      <c r="B287" s="353" t="s">
        <v>740</v>
      </c>
      <c r="C287" s="116" t="s">
        <v>584</v>
      </c>
      <c r="D287" s="117"/>
      <c r="E287" s="117"/>
      <c r="F287" s="131" t="s">
        <v>314</v>
      </c>
    </row>
    <row r="288" spans="1:6" ht="10.5" customHeight="1">
      <c r="A288" s="354"/>
      <c r="B288" s="353"/>
      <c r="C288" s="64" t="s">
        <v>434</v>
      </c>
      <c r="D288" s="117">
        <v>0</v>
      </c>
      <c r="E288" s="117"/>
      <c r="F288" s="131">
        <f t="shared" si="6"/>
        <v>0</v>
      </c>
    </row>
    <row r="289" spans="1:6" ht="10.5" customHeight="1">
      <c r="A289" s="354"/>
      <c r="B289" s="353"/>
      <c r="C289" s="64" t="s">
        <v>435</v>
      </c>
      <c r="D289" s="117">
        <v>116</v>
      </c>
      <c r="E289" s="117"/>
      <c r="F289" s="131">
        <f t="shared" si="6"/>
        <v>116</v>
      </c>
    </row>
    <row r="290" spans="1:6" ht="10.5" customHeight="1">
      <c r="A290" s="354"/>
      <c r="B290" s="353"/>
      <c r="C290" s="64" t="s">
        <v>436</v>
      </c>
      <c r="D290" s="117">
        <v>116</v>
      </c>
      <c r="E290" s="117"/>
      <c r="F290" s="131">
        <f>D290</f>
        <v>116</v>
      </c>
    </row>
    <row r="291" spans="1:6" ht="10.5" customHeight="1">
      <c r="A291" s="334"/>
      <c r="B291" s="353" t="s">
        <v>582</v>
      </c>
      <c r="C291" s="80" t="s">
        <v>741</v>
      </c>
      <c r="D291" s="117"/>
      <c r="E291" s="117"/>
      <c r="F291" s="131"/>
    </row>
    <row r="292" spans="1:6" ht="10.5" customHeight="1">
      <c r="A292" s="334"/>
      <c r="B292" s="353"/>
      <c r="C292" s="64" t="s">
        <v>434</v>
      </c>
      <c r="D292" s="117">
        <v>0</v>
      </c>
      <c r="E292" s="117">
        <v>0</v>
      </c>
      <c r="F292" s="131">
        <f>E292+D292</f>
        <v>0</v>
      </c>
    </row>
    <row r="293" spans="1:6" ht="10.5" customHeight="1">
      <c r="A293" s="334"/>
      <c r="B293" s="353"/>
      <c r="C293" s="64" t="s">
        <v>435</v>
      </c>
      <c r="D293" s="117">
        <v>3000</v>
      </c>
      <c r="E293" s="117">
        <v>0</v>
      </c>
      <c r="F293" s="131">
        <f>E293+D293</f>
        <v>3000</v>
      </c>
    </row>
    <row r="294" spans="1:6" ht="10.5" customHeight="1">
      <c r="A294" s="337"/>
      <c r="B294" s="355"/>
      <c r="C294" s="432" t="s">
        <v>436</v>
      </c>
      <c r="D294" s="146">
        <v>3000</v>
      </c>
      <c r="E294" s="146">
        <v>0</v>
      </c>
      <c r="F294" s="157">
        <f>E294+D294</f>
        <v>3000</v>
      </c>
    </row>
    <row r="295" spans="1:6" ht="10.5" customHeight="1">
      <c r="A295" s="334"/>
      <c r="B295" s="353" t="s">
        <v>219</v>
      </c>
      <c r="C295" s="80" t="s">
        <v>220</v>
      </c>
      <c r="D295" s="117"/>
      <c r="E295" s="117"/>
      <c r="F295" s="131"/>
    </row>
    <row r="296" spans="1:6" ht="10.5" customHeight="1">
      <c r="A296" s="334"/>
      <c r="B296" s="353"/>
      <c r="C296" s="64" t="s">
        <v>434</v>
      </c>
      <c r="D296" s="117"/>
      <c r="E296" s="117">
        <v>0</v>
      </c>
      <c r="F296" s="131">
        <f>D296</f>
        <v>0</v>
      </c>
    </row>
    <row r="297" spans="1:6" ht="10.5" customHeight="1">
      <c r="A297" s="334"/>
      <c r="B297" s="353"/>
      <c r="C297" s="64" t="s">
        <v>435</v>
      </c>
      <c r="D297" s="117"/>
      <c r="E297" s="117">
        <v>0</v>
      </c>
      <c r="F297" s="131">
        <f>D297</f>
        <v>0</v>
      </c>
    </row>
    <row r="298" spans="1:6" ht="10.5" customHeight="1" thickBot="1">
      <c r="A298" s="337"/>
      <c r="B298" s="355"/>
      <c r="C298" s="432" t="s">
        <v>436</v>
      </c>
      <c r="D298" s="146"/>
      <c r="E298" s="146">
        <v>14930</v>
      </c>
      <c r="F298" s="135">
        <f>D298+E298</f>
        <v>14930</v>
      </c>
    </row>
    <row r="299" spans="1:6" ht="10.5" customHeight="1" thickBot="1" thickTop="1">
      <c r="A299" s="339"/>
      <c r="B299" s="340"/>
      <c r="C299" s="340" t="s">
        <v>503</v>
      </c>
      <c r="D299" s="188"/>
      <c r="E299" s="188"/>
      <c r="F299" s="189"/>
    </row>
    <row r="300" spans="1:6" ht="12" customHeight="1" thickTop="1">
      <c r="A300" s="342"/>
      <c r="B300" s="343"/>
      <c r="C300" s="249" t="s">
        <v>434</v>
      </c>
      <c r="D300" s="145">
        <f>D168+D176+D180+D184+D188+D192+D196+D200+D204+D208+D212+D216+D220+D224+D228+D232+D236+D240+D244+D172+D248+D252+D256+D260+D264+D268+D272+D276+D280+D284+D288+D292</f>
        <v>225316</v>
      </c>
      <c r="E300" s="145">
        <f>E168+E176+E180+E184+E188+E192+E196+E200+E204+E208+E212+E216+E220+E224+E228+E232+E236+E240+E244+E172+E248+E252+E256+E260+E264+E268+E272+E276+E280+E284+E288+E292</f>
        <v>0</v>
      </c>
      <c r="F300" s="154">
        <f>F168+F176+F180+F184+F188+F192+F196+F200+F204+F208+F212+F216+F220+F224+F228+F232+F236+F240+F244+F172+F248+F252+F256+F260+F264+F268+F272+F276+F280+F284+F288+F292</f>
        <v>225316</v>
      </c>
    </row>
    <row r="301" spans="1:6" ht="9.75" customHeight="1">
      <c r="A301" s="344"/>
      <c r="B301" s="345"/>
      <c r="C301" s="67" t="s">
        <v>435</v>
      </c>
      <c r="D301" s="145">
        <f>D169+D177+D181+D185+D189+D193+D197+D201+D205+D209+D213+D217+D221+D225+D229+D233+D237+D241+D245+D249+D253+D257+D261+D265+D269+D273+D277+D281+D285+D289+D293+D173</f>
        <v>86024</v>
      </c>
      <c r="E301" s="145">
        <f>E169+E177+E181+E185+E189+E193+E197+E201+E205+E209+E213+E217+E221+E225+E229+E233+E237+E241+E245+E249+E253+E257+E261+E265+E269+E273+E277+E281+E285+E289+E293+E173</f>
        <v>350</v>
      </c>
      <c r="F301" s="154">
        <f>F169+F177+F181+F185+F189+F193+F197+F201+F205+F209+F213+F217+F221+F225+F229+F233+F237+F241+F245+F249+F253+F257+F261+F265+F269+F273+F277+F281+F285+F289+F293+F173</f>
        <v>86374</v>
      </c>
    </row>
    <row r="302" spans="1:6" ht="9.75" customHeight="1">
      <c r="A302" s="344"/>
      <c r="B302" s="345"/>
      <c r="C302" s="67" t="s">
        <v>436</v>
      </c>
      <c r="D302" s="145">
        <f>D170+D178+D182+D186+D190+D194+D198+D202+D206+D210+D214+D218+D222+D226+D230+D234+D238+D242+D246+D250+D254+D258+D262+D266+D270+D274+D278+D282+D286+D290+D294+D174</f>
        <v>68952</v>
      </c>
      <c r="E302" s="145">
        <f>E170+E178+E182+E186+E190+E194+E198+E202+E206+E210+E214+E218+E222+E226+E230+E234+E238+E242+E246+E250+E254+E258+E262+E266+E270+E274+E278+E282+E286+E290+E294+E298</f>
        <v>15060</v>
      </c>
      <c r="F302" s="154">
        <f>F170+F178+F182+F186+F190+F194+F198+F202+F206+F210+F214+F218+F222+F226+F230+F234+F238+F242+F246+F250+F254+F258+F262+F266+F270+F274+F278+F282+F286+F290+F294+F174+F298</f>
        <v>84012</v>
      </c>
    </row>
    <row r="303" spans="1:6" s="14" customFormat="1" ht="9.75" customHeight="1">
      <c r="A303" s="344" t="s">
        <v>193</v>
      </c>
      <c r="B303" s="345"/>
      <c r="C303" s="174" t="s">
        <v>341</v>
      </c>
      <c r="D303" s="130"/>
      <c r="E303" s="130"/>
      <c r="F303" s="131"/>
    </row>
    <row r="304" spans="1:6" s="14" customFormat="1" ht="12" customHeight="1">
      <c r="A304" s="344" t="s">
        <v>109</v>
      </c>
      <c r="B304" s="335"/>
      <c r="C304" s="174" t="s">
        <v>330</v>
      </c>
      <c r="D304" s="117"/>
      <c r="E304" s="117"/>
      <c r="F304" s="149"/>
    </row>
    <row r="305" spans="1:6" ht="21.75" customHeight="1">
      <c r="A305" s="334"/>
      <c r="B305" s="353" t="s">
        <v>343</v>
      </c>
      <c r="C305" s="356" t="s">
        <v>194</v>
      </c>
      <c r="D305" s="117"/>
      <c r="E305" s="117"/>
      <c r="F305" s="131"/>
    </row>
    <row r="306" spans="1:6" ht="10.5" customHeight="1">
      <c r="A306" s="334"/>
      <c r="B306" s="353"/>
      <c r="C306" s="64" t="s">
        <v>434</v>
      </c>
      <c r="D306" s="117"/>
      <c r="E306" s="117">
        <v>5172</v>
      </c>
      <c r="F306" s="131">
        <f>SUM(D306:E306)</f>
        <v>5172</v>
      </c>
    </row>
    <row r="307" spans="1:6" ht="9.75" customHeight="1">
      <c r="A307" s="334"/>
      <c r="B307" s="353"/>
      <c r="C307" s="64" t="s">
        <v>435</v>
      </c>
      <c r="D307" s="117"/>
      <c r="E307" s="117">
        <v>5172</v>
      </c>
      <c r="F307" s="131">
        <f>SUM(D307:E307)</f>
        <v>5172</v>
      </c>
    </row>
    <row r="308" spans="1:6" ht="10.5" customHeight="1">
      <c r="A308" s="334"/>
      <c r="B308" s="353"/>
      <c r="C308" s="64" t="s">
        <v>436</v>
      </c>
      <c r="D308" s="117"/>
      <c r="E308" s="117">
        <v>4011</v>
      </c>
      <c r="F308" s="131">
        <f>SUM(D308:E308)</f>
        <v>4011</v>
      </c>
    </row>
    <row r="309" spans="1:6" ht="21" customHeight="1">
      <c r="A309" s="334"/>
      <c r="B309" s="353" t="s">
        <v>344</v>
      </c>
      <c r="C309" s="356" t="s">
        <v>504</v>
      </c>
      <c r="D309" s="117"/>
      <c r="E309" s="117"/>
      <c r="F309" s="131"/>
    </row>
    <row r="310" spans="1:6" ht="10.5" customHeight="1">
      <c r="A310" s="334"/>
      <c r="B310" s="353"/>
      <c r="C310" s="64" t="s">
        <v>434</v>
      </c>
      <c r="D310" s="117"/>
      <c r="E310" s="117">
        <v>218</v>
      </c>
      <c r="F310" s="131">
        <f>SUM(D310:E310)</f>
        <v>218</v>
      </c>
    </row>
    <row r="311" spans="1:6" ht="10.5" customHeight="1">
      <c r="A311" s="334"/>
      <c r="B311" s="353"/>
      <c r="C311" s="64" t="s">
        <v>435</v>
      </c>
      <c r="D311" s="117"/>
      <c r="E311" s="117">
        <v>218</v>
      </c>
      <c r="F311" s="131">
        <f>SUM(D311:E311)</f>
        <v>218</v>
      </c>
    </row>
    <row r="312" spans="1:6" ht="10.5" customHeight="1">
      <c r="A312" s="334"/>
      <c r="B312" s="353"/>
      <c r="C312" s="64" t="s">
        <v>436</v>
      </c>
      <c r="D312" s="117"/>
      <c r="E312" s="117">
        <v>384</v>
      </c>
      <c r="F312" s="131">
        <f>SUM(D312:E312)</f>
        <v>384</v>
      </c>
    </row>
    <row r="313" spans="1:6" ht="11.25" customHeight="1">
      <c r="A313" s="334"/>
      <c r="B313" s="353" t="s">
        <v>345</v>
      </c>
      <c r="C313" s="356" t="s">
        <v>591</v>
      </c>
      <c r="D313" s="117"/>
      <c r="E313" s="117"/>
      <c r="F313" s="149"/>
    </row>
    <row r="314" spans="1:6" ht="10.5" customHeight="1">
      <c r="A314" s="334"/>
      <c r="B314" s="353"/>
      <c r="C314" s="64" t="s">
        <v>434</v>
      </c>
      <c r="D314" s="117"/>
      <c r="E314" s="117">
        <v>0</v>
      </c>
      <c r="F314" s="131">
        <f>SUM(D314:E314)</f>
        <v>0</v>
      </c>
    </row>
    <row r="315" spans="1:6" ht="10.5" customHeight="1">
      <c r="A315" s="334"/>
      <c r="B315" s="353"/>
      <c r="C315" s="64" t="s">
        <v>435</v>
      </c>
      <c r="D315" s="117"/>
      <c r="E315" s="117">
        <v>9475</v>
      </c>
      <c r="F315" s="131">
        <f>SUM(D315:E315)</f>
        <v>9475</v>
      </c>
    </row>
    <row r="316" spans="1:6" ht="10.5" customHeight="1">
      <c r="A316" s="344"/>
      <c r="B316" s="353"/>
      <c r="C316" s="64" t="s">
        <v>436</v>
      </c>
      <c r="D316" s="117"/>
      <c r="E316" s="117">
        <v>9628</v>
      </c>
      <c r="F316" s="131">
        <f>SUM(D316:E316)</f>
        <v>9628</v>
      </c>
    </row>
    <row r="317" spans="1:6" ht="10.5" customHeight="1">
      <c r="A317" s="344" t="s">
        <v>111</v>
      </c>
      <c r="B317" s="353"/>
      <c r="C317" s="853" t="s">
        <v>592</v>
      </c>
      <c r="D317" s="117"/>
      <c r="E317" s="117"/>
      <c r="F317" s="131"/>
    </row>
    <row r="318" spans="1:6" ht="10.5" customHeight="1">
      <c r="A318" s="334"/>
      <c r="B318" s="353" t="s">
        <v>683</v>
      </c>
      <c r="C318" s="59" t="s">
        <v>593</v>
      </c>
      <c r="D318" s="117"/>
      <c r="E318" s="117"/>
      <c r="F318" s="149"/>
    </row>
    <row r="319" spans="1:6" ht="10.5" customHeight="1">
      <c r="A319" s="334"/>
      <c r="B319" s="353"/>
      <c r="C319" s="64" t="s">
        <v>434</v>
      </c>
      <c r="D319" s="117">
        <v>0</v>
      </c>
      <c r="E319" s="117">
        <v>0</v>
      </c>
      <c r="F319" s="131">
        <f>SUM(D319:E319)</f>
        <v>0</v>
      </c>
    </row>
    <row r="320" spans="1:6" ht="10.5" customHeight="1">
      <c r="A320" s="334"/>
      <c r="B320" s="353"/>
      <c r="C320" s="64" t="s">
        <v>435</v>
      </c>
      <c r="D320" s="117">
        <v>842</v>
      </c>
      <c r="E320" s="117">
        <v>0</v>
      </c>
      <c r="F320" s="131">
        <f>SUM(D320:E320)</f>
        <v>842</v>
      </c>
    </row>
    <row r="321" spans="1:6" ht="10.5" customHeight="1">
      <c r="A321" s="334"/>
      <c r="B321" s="353"/>
      <c r="C321" s="64" t="s">
        <v>436</v>
      </c>
      <c r="D321" s="117">
        <v>842</v>
      </c>
      <c r="E321" s="117">
        <v>0</v>
      </c>
      <c r="F321" s="131">
        <f>SUM(D321:E321)</f>
        <v>842</v>
      </c>
    </row>
    <row r="322" spans="1:6" ht="10.5" customHeight="1">
      <c r="A322" s="354"/>
      <c r="B322" s="353" t="s">
        <v>689</v>
      </c>
      <c r="C322" s="433" t="s">
        <v>596</v>
      </c>
      <c r="D322" s="117"/>
      <c r="E322" s="117"/>
      <c r="F322" s="131"/>
    </row>
    <row r="323" spans="1:6" ht="10.5" customHeight="1">
      <c r="A323" s="354"/>
      <c r="B323" s="353"/>
      <c r="C323" s="64" t="s">
        <v>434</v>
      </c>
      <c r="D323" s="117">
        <v>0</v>
      </c>
      <c r="E323" s="117"/>
      <c r="F323" s="131">
        <f>SUM(D323:E323)</f>
        <v>0</v>
      </c>
    </row>
    <row r="324" spans="1:6" ht="10.5" customHeight="1">
      <c r="A324" s="354"/>
      <c r="B324" s="353"/>
      <c r="C324" s="64" t="s">
        <v>435</v>
      </c>
      <c r="D324" s="117">
        <v>848</v>
      </c>
      <c r="E324" s="117"/>
      <c r="F324" s="131">
        <f>SUM(D324:E324)</f>
        <v>848</v>
      </c>
    </row>
    <row r="325" spans="1:6" ht="10.5" customHeight="1">
      <c r="A325" s="354"/>
      <c r="B325" s="353"/>
      <c r="C325" s="64" t="s">
        <v>436</v>
      </c>
      <c r="D325" s="117">
        <v>848</v>
      </c>
      <c r="E325" s="117"/>
      <c r="F325" s="131">
        <f>SUM(D325:E325)</f>
        <v>848</v>
      </c>
    </row>
    <row r="326" spans="1:6" ht="10.5" customHeight="1">
      <c r="A326" s="354"/>
      <c r="B326" s="353" t="s">
        <v>594</v>
      </c>
      <c r="C326" s="433" t="s">
        <v>597</v>
      </c>
      <c r="D326" s="117"/>
      <c r="E326" s="117"/>
      <c r="F326" s="131"/>
    </row>
    <row r="327" spans="1:6" ht="10.5" customHeight="1">
      <c r="A327" s="354"/>
      <c r="B327" s="353"/>
      <c r="C327" s="64" t="s">
        <v>434</v>
      </c>
      <c r="D327" s="117">
        <v>0</v>
      </c>
      <c r="E327" s="117"/>
      <c r="F327" s="131">
        <f>D327+E327</f>
        <v>0</v>
      </c>
    </row>
    <row r="328" spans="1:6" ht="10.5" customHeight="1">
      <c r="A328" s="354"/>
      <c r="B328" s="353"/>
      <c r="C328" s="64" t="s">
        <v>435</v>
      </c>
      <c r="D328" s="117">
        <v>1272</v>
      </c>
      <c r="E328" s="117"/>
      <c r="F328" s="131">
        <f>D328+E328</f>
        <v>1272</v>
      </c>
    </row>
    <row r="329" spans="1:6" ht="10.5" customHeight="1">
      <c r="A329" s="354"/>
      <c r="B329" s="353"/>
      <c r="C329" s="64" t="s">
        <v>436</v>
      </c>
      <c r="D329" s="117">
        <v>1272</v>
      </c>
      <c r="E329" s="117"/>
      <c r="F329" s="131">
        <f>D329+E329</f>
        <v>1272</v>
      </c>
    </row>
    <row r="330" spans="1:6" ht="10.5" customHeight="1">
      <c r="A330" s="337"/>
      <c r="B330" s="355" t="s">
        <v>595</v>
      </c>
      <c r="C330" s="434" t="s">
        <v>598</v>
      </c>
      <c r="D330" s="146"/>
      <c r="E330" s="146"/>
      <c r="F330" s="135"/>
    </row>
    <row r="331" spans="1:6" ht="10.5" customHeight="1">
      <c r="A331" s="354"/>
      <c r="B331" s="353"/>
      <c r="C331" s="64" t="s">
        <v>434</v>
      </c>
      <c r="D331" s="117">
        <v>0</v>
      </c>
      <c r="E331" s="117"/>
      <c r="F331" s="131">
        <f>D331</f>
        <v>0</v>
      </c>
    </row>
    <row r="332" spans="1:6" ht="10.5" customHeight="1">
      <c r="A332" s="354"/>
      <c r="B332" s="353"/>
      <c r="C332" s="64" t="s">
        <v>435</v>
      </c>
      <c r="D332" s="117">
        <v>957</v>
      </c>
      <c r="E332" s="117"/>
      <c r="F332" s="131">
        <f>D332</f>
        <v>957</v>
      </c>
    </row>
    <row r="333" spans="1:6" ht="10.5" customHeight="1" thickBot="1">
      <c r="A333" s="337"/>
      <c r="B333" s="355"/>
      <c r="C333" s="64" t="s">
        <v>436</v>
      </c>
      <c r="D333" s="146">
        <v>957</v>
      </c>
      <c r="E333" s="146"/>
      <c r="F333" s="135">
        <f>D333</f>
        <v>957</v>
      </c>
    </row>
    <row r="334" spans="1:6" s="14" customFormat="1" ht="10.5" customHeight="1" thickBot="1" thickTop="1">
      <c r="A334" s="339"/>
      <c r="B334" s="340"/>
      <c r="C334" s="341" t="s">
        <v>505</v>
      </c>
      <c r="D334" s="188"/>
      <c r="E334" s="188"/>
      <c r="F334" s="189"/>
    </row>
    <row r="335" spans="1:6" s="14" customFormat="1" ht="10.5" customHeight="1" thickTop="1">
      <c r="A335" s="357"/>
      <c r="B335" s="106"/>
      <c r="C335" s="323" t="s">
        <v>434</v>
      </c>
      <c r="D335" s="134">
        <f>D306+D310+D314+D319+D323+D327+D331</f>
        <v>0</v>
      </c>
      <c r="E335" s="134">
        <f>E306+E310+E314+E319+E323+E327+E331</f>
        <v>5390</v>
      </c>
      <c r="F335" s="135">
        <f>F306+F310+F314+F319+F323+F327+F331</f>
        <v>5390</v>
      </c>
    </row>
    <row r="336" spans="1:6" s="14" customFormat="1" ht="10.5" customHeight="1">
      <c r="A336" s="344"/>
      <c r="B336" s="345"/>
      <c r="C336" s="67" t="s">
        <v>435</v>
      </c>
      <c r="D336" s="130">
        <f aca="true" t="shared" si="7" ref="D336:F337">D307+D311+D315+D320+D328+D332+D324</f>
        <v>3919</v>
      </c>
      <c r="E336" s="130">
        <f t="shared" si="7"/>
        <v>14865</v>
      </c>
      <c r="F336" s="131">
        <f t="shared" si="7"/>
        <v>18784</v>
      </c>
    </row>
    <row r="337" spans="1:6" s="14" customFormat="1" ht="10.5" customHeight="1">
      <c r="A337" s="344"/>
      <c r="B337" s="345"/>
      <c r="C337" s="67" t="s">
        <v>436</v>
      </c>
      <c r="D337" s="130">
        <f t="shared" si="7"/>
        <v>3919</v>
      </c>
      <c r="E337" s="130">
        <f t="shared" si="7"/>
        <v>14023</v>
      </c>
      <c r="F337" s="131">
        <f t="shared" si="7"/>
        <v>17942</v>
      </c>
    </row>
    <row r="338" spans="1:6" s="14" customFormat="1" ht="12" customHeight="1">
      <c r="A338" s="344" t="s">
        <v>196</v>
      </c>
      <c r="B338" s="345"/>
      <c r="C338" s="174" t="s">
        <v>197</v>
      </c>
      <c r="D338" s="130"/>
      <c r="E338" s="130"/>
      <c r="F338" s="131"/>
    </row>
    <row r="339" spans="1:6" ht="10.5" customHeight="1">
      <c r="A339" s="334"/>
      <c r="B339" s="335" t="s">
        <v>109</v>
      </c>
      <c r="C339" s="116" t="s">
        <v>506</v>
      </c>
      <c r="D339" s="117"/>
      <c r="E339" s="117"/>
      <c r="F339" s="131"/>
    </row>
    <row r="340" spans="1:6" ht="10.5" customHeight="1">
      <c r="A340" s="334"/>
      <c r="B340" s="335"/>
      <c r="C340" s="74" t="s">
        <v>434</v>
      </c>
      <c r="D340" s="117">
        <v>251758</v>
      </c>
      <c r="E340" s="117"/>
      <c r="F340" s="131">
        <f aca="true" t="shared" si="8" ref="F340:F354">SUM(D340:E340)</f>
        <v>251758</v>
      </c>
    </row>
    <row r="341" spans="1:6" ht="10.5" customHeight="1">
      <c r="A341" s="334"/>
      <c r="B341" s="335"/>
      <c r="C341" s="64" t="s">
        <v>435</v>
      </c>
      <c r="D341" s="117">
        <v>250898</v>
      </c>
      <c r="E341" s="117"/>
      <c r="F341" s="131">
        <f t="shared" si="8"/>
        <v>250898</v>
      </c>
    </row>
    <row r="342" spans="1:6" ht="10.5" customHeight="1">
      <c r="A342" s="334"/>
      <c r="B342" s="335"/>
      <c r="C342" s="64" t="s">
        <v>436</v>
      </c>
      <c r="D342" s="117">
        <v>250898</v>
      </c>
      <c r="E342" s="117"/>
      <c r="F342" s="131">
        <f t="shared" si="8"/>
        <v>250898</v>
      </c>
    </row>
    <row r="343" spans="1:6" ht="10.5" customHeight="1">
      <c r="A343" s="334"/>
      <c r="B343" s="335" t="s">
        <v>111</v>
      </c>
      <c r="C343" s="116" t="s">
        <v>198</v>
      </c>
      <c r="D343" s="117"/>
      <c r="E343" s="117"/>
      <c r="F343" s="131"/>
    </row>
    <row r="344" spans="1:6" ht="10.5" customHeight="1">
      <c r="A344" s="334"/>
      <c r="B344" s="335"/>
      <c r="C344" s="74" t="s">
        <v>434</v>
      </c>
      <c r="D344" s="117">
        <v>292</v>
      </c>
      <c r="E344" s="117"/>
      <c r="F344" s="131">
        <f t="shared" si="8"/>
        <v>292</v>
      </c>
    </row>
    <row r="345" spans="1:6" ht="10.5" customHeight="1">
      <c r="A345" s="334"/>
      <c r="B345" s="335"/>
      <c r="C345" s="64" t="s">
        <v>435</v>
      </c>
      <c r="D345" s="117">
        <v>289</v>
      </c>
      <c r="E345" s="117"/>
      <c r="F345" s="131">
        <f t="shared" si="8"/>
        <v>289</v>
      </c>
    </row>
    <row r="346" spans="1:6" ht="10.5" customHeight="1">
      <c r="A346" s="334"/>
      <c r="B346" s="335"/>
      <c r="C346" s="64" t="s">
        <v>436</v>
      </c>
      <c r="D346" s="117">
        <v>289</v>
      </c>
      <c r="E346" s="117"/>
      <c r="F346" s="131">
        <f t="shared" si="8"/>
        <v>289</v>
      </c>
    </row>
    <row r="347" spans="1:6" ht="10.5" customHeight="1">
      <c r="A347" s="334"/>
      <c r="B347" s="335" t="s">
        <v>113</v>
      </c>
      <c r="C347" s="80" t="s">
        <v>507</v>
      </c>
      <c r="D347" s="117"/>
      <c r="E347" s="117"/>
      <c r="F347" s="131"/>
    </row>
    <row r="348" spans="1:6" ht="10.5" customHeight="1">
      <c r="A348" s="334"/>
      <c r="B348" s="335"/>
      <c r="C348" s="74" t="s">
        <v>434</v>
      </c>
      <c r="D348" s="117">
        <v>169149</v>
      </c>
      <c r="E348" s="117"/>
      <c r="F348" s="131">
        <f>D348</f>
        <v>169149</v>
      </c>
    </row>
    <row r="349" spans="1:6" ht="10.5" customHeight="1">
      <c r="A349" s="334"/>
      <c r="B349" s="335"/>
      <c r="C349" s="64" t="s">
        <v>435</v>
      </c>
      <c r="D349" s="117">
        <v>169150</v>
      </c>
      <c r="E349" s="117"/>
      <c r="F349" s="131">
        <f>D349</f>
        <v>169150</v>
      </c>
    </row>
    <row r="350" spans="1:6" ht="10.5" customHeight="1">
      <c r="A350" s="334"/>
      <c r="B350" s="335"/>
      <c r="C350" s="64" t="s">
        <v>436</v>
      </c>
      <c r="D350" s="117">
        <v>169150</v>
      </c>
      <c r="E350" s="117"/>
      <c r="F350" s="131">
        <f>D350</f>
        <v>169150</v>
      </c>
    </row>
    <row r="351" spans="1:6" ht="10.5" customHeight="1">
      <c r="A351" s="334"/>
      <c r="B351" s="335" t="s">
        <v>115</v>
      </c>
      <c r="C351" s="116" t="s">
        <v>508</v>
      </c>
      <c r="D351" s="117"/>
      <c r="E351" s="117"/>
      <c r="F351" s="131"/>
    </row>
    <row r="352" spans="1:6" ht="10.5" customHeight="1">
      <c r="A352" s="334"/>
      <c r="B352" s="335"/>
      <c r="C352" s="74" t="s">
        <v>434</v>
      </c>
      <c r="D352" s="117">
        <v>226</v>
      </c>
      <c r="E352" s="117"/>
      <c r="F352" s="131">
        <f t="shared" si="8"/>
        <v>226</v>
      </c>
    </row>
    <row r="353" spans="1:6" ht="10.5" customHeight="1">
      <c r="A353" s="334"/>
      <c r="B353" s="335"/>
      <c r="C353" s="64" t="s">
        <v>435</v>
      </c>
      <c r="D353" s="117">
        <v>207</v>
      </c>
      <c r="E353" s="117"/>
      <c r="F353" s="131">
        <f t="shared" si="8"/>
        <v>207</v>
      </c>
    </row>
    <row r="354" spans="1:6" ht="10.5" customHeight="1">
      <c r="A354" s="354"/>
      <c r="B354" s="335"/>
      <c r="C354" s="64" t="s">
        <v>436</v>
      </c>
      <c r="D354" s="117">
        <v>207</v>
      </c>
      <c r="E354" s="117"/>
      <c r="F354" s="131">
        <f t="shared" si="8"/>
        <v>207</v>
      </c>
    </row>
    <row r="355" spans="1:6" ht="10.5" customHeight="1">
      <c r="A355" s="354"/>
      <c r="B355" s="335" t="s">
        <v>117</v>
      </c>
      <c r="C355" s="116" t="s">
        <v>687</v>
      </c>
      <c r="D355" s="117"/>
      <c r="E355" s="117"/>
      <c r="F355" s="131"/>
    </row>
    <row r="356" spans="1:6" ht="10.5" customHeight="1">
      <c r="A356" s="354"/>
      <c r="B356" s="335"/>
      <c r="C356" s="64" t="s">
        <v>434</v>
      </c>
      <c r="D356" s="117">
        <f>D360+D364+D368+D372+D376+D380</f>
        <v>0</v>
      </c>
      <c r="E356" s="117" t="s">
        <v>314</v>
      </c>
      <c r="F356" s="131">
        <f>F360+F364+F368+F372</f>
        <v>0</v>
      </c>
    </row>
    <row r="357" spans="1:6" ht="10.5" customHeight="1">
      <c r="A357" s="354"/>
      <c r="B357" s="335"/>
      <c r="C357" s="64" t="s">
        <v>435</v>
      </c>
      <c r="D357" s="117">
        <f aca="true" t="shared" si="9" ref="D357:F358">D361+D365+D369+D373+D377+D381</f>
        <v>118159</v>
      </c>
      <c r="E357" s="117" t="s">
        <v>314</v>
      </c>
      <c r="F357" s="131">
        <f t="shared" si="9"/>
        <v>118159</v>
      </c>
    </row>
    <row r="358" spans="1:6" ht="10.5" customHeight="1">
      <c r="A358" s="354"/>
      <c r="B358" s="335"/>
      <c r="C358" s="64" t="s">
        <v>436</v>
      </c>
      <c r="D358" s="117">
        <f t="shared" si="9"/>
        <v>118159</v>
      </c>
      <c r="E358" s="117" t="s">
        <v>314</v>
      </c>
      <c r="F358" s="131">
        <f t="shared" si="9"/>
        <v>118159</v>
      </c>
    </row>
    <row r="359" spans="1:6" ht="10.5" customHeight="1">
      <c r="A359" s="354"/>
      <c r="B359" s="353" t="s">
        <v>624</v>
      </c>
      <c r="C359" s="116" t="s">
        <v>188</v>
      </c>
      <c r="D359" s="117"/>
      <c r="E359" s="117"/>
      <c r="F359" s="131"/>
    </row>
    <row r="360" spans="1:6" ht="10.5" customHeight="1">
      <c r="A360" s="354"/>
      <c r="B360" s="335"/>
      <c r="C360" s="64" t="s">
        <v>434</v>
      </c>
      <c r="D360" s="117">
        <v>0</v>
      </c>
      <c r="E360" s="117"/>
      <c r="F360" s="131">
        <f>SUM(D360:E360)</f>
        <v>0</v>
      </c>
    </row>
    <row r="361" spans="1:6" ht="10.5" customHeight="1">
      <c r="A361" s="354"/>
      <c r="B361" s="335"/>
      <c r="C361" s="64" t="s">
        <v>435</v>
      </c>
      <c r="D361" s="117">
        <v>12010</v>
      </c>
      <c r="E361" s="117"/>
      <c r="F361" s="131">
        <f>SUM(D361:E361)</f>
        <v>12010</v>
      </c>
    </row>
    <row r="362" spans="1:6" ht="10.5" customHeight="1">
      <c r="A362" s="354"/>
      <c r="B362" s="335"/>
      <c r="C362" s="64" t="s">
        <v>436</v>
      </c>
      <c r="D362" s="117">
        <v>12010</v>
      </c>
      <c r="E362" s="117"/>
      <c r="F362" s="131">
        <f>SUM(D362:E362)</f>
        <v>12010</v>
      </c>
    </row>
    <row r="363" spans="1:6" ht="10.5" customHeight="1">
      <c r="A363" s="354"/>
      <c r="B363" s="353" t="s">
        <v>625</v>
      </c>
      <c r="C363" s="116" t="s">
        <v>187</v>
      </c>
      <c r="D363" s="117"/>
      <c r="E363" s="117"/>
      <c r="F363" s="131"/>
    </row>
    <row r="364" spans="1:6" ht="10.5" customHeight="1">
      <c r="A364" s="354"/>
      <c r="B364" s="335"/>
      <c r="C364" s="64" t="s">
        <v>434</v>
      </c>
      <c r="D364" s="117">
        <v>0</v>
      </c>
      <c r="E364" s="117"/>
      <c r="F364" s="131">
        <f>SUM(D364:E364)</f>
        <v>0</v>
      </c>
    </row>
    <row r="365" spans="1:6" ht="10.5" customHeight="1">
      <c r="A365" s="354"/>
      <c r="B365" s="335"/>
      <c r="C365" s="64" t="s">
        <v>435</v>
      </c>
      <c r="D365" s="117">
        <v>18656</v>
      </c>
      <c r="E365" s="117"/>
      <c r="F365" s="131">
        <f>SUM(D365:E365)</f>
        <v>18656</v>
      </c>
    </row>
    <row r="366" spans="1:6" ht="10.5" customHeight="1">
      <c r="A366" s="354"/>
      <c r="B366" s="335"/>
      <c r="C366" s="64" t="s">
        <v>436</v>
      </c>
      <c r="D366" s="117">
        <v>18656</v>
      </c>
      <c r="E366" s="117"/>
      <c r="F366" s="131">
        <f>SUM(D366:E366)</f>
        <v>18656</v>
      </c>
    </row>
    <row r="367" spans="1:6" ht="10.5" customHeight="1">
      <c r="A367" s="354"/>
      <c r="B367" s="353" t="s">
        <v>626</v>
      </c>
      <c r="C367" s="116" t="s">
        <v>186</v>
      </c>
      <c r="D367" s="117"/>
      <c r="E367" s="117"/>
      <c r="F367" s="131"/>
    </row>
    <row r="368" spans="1:6" ht="10.5" customHeight="1">
      <c r="A368" s="354"/>
      <c r="B368" s="335"/>
      <c r="C368" s="64" t="s">
        <v>434</v>
      </c>
      <c r="D368" s="117">
        <v>0</v>
      </c>
      <c r="E368" s="117"/>
      <c r="F368" s="131">
        <f>SUM(D368:E368)</f>
        <v>0</v>
      </c>
    </row>
    <row r="369" spans="1:6" ht="10.5" customHeight="1">
      <c r="A369" s="354"/>
      <c r="B369" s="335"/>
      <c r="C369" s="64" t="s">
        <v>435</v>
      </c>
      <c r="D369" s="117">
        <v>27663</v>
      </c>
      <c r="E369" s="117"/>
      <c r="F369" s="131">
        <f>SUM(D369:E369)</f>
        <v>27663</v>
      </c>
    </row>
    <row r="370" spans="1:6" ht="10.5" customHeight="1">
      <c r="A370" s="334"/>
      <c r="B370" s="335"/>
      <c r="C370" s="64" t="s">
        <v>436</v>
      </c>
      <c r="D370" s="117">
        <v>27663</v>
      </c>
      <c r="E370" s="117"/>
      <c r="F370" s="131">
        <f>SUM(D370:E370)</f>
        <v>27663</v>
      </c>
    </row>
    <row r="371" spans="1:6" ht="10.5" customHeight="1">
      <c r="A371" s="334"/>
      <c r="B371" s="353" t="s">
        <v>627</v>
      </c>
      <c r="C371" s="116" t="s">
        <v>189</v>
      </c>
      <c r="D371" s="117"/>
      <c r="E371" s="117"/>
      <c r="F371" s="131"/>
    </row>
    <row r="372" spans="1:6" ht="10.5" customHeight="1">
      <c r="A372" s="334"/>
      <c r="B372" s="335"/>
      <c r="C372" s="64" t="s">
        <v>434</v>
      </c>
      <c r="D372" s="117">
        <v>0</v>
      </c>
      <c r="E372" s="117"/>
      <c r="F372" s="131">
        <f>SUM(D372:E372)</f>
        <v>0</v>
      </c>
    </row>
    <row r="373" spans="1:6" ht="10.5" customHeight="1">
      <c r="A373" s="334"/>
      <c r="B373" s="335"/>
      <c r="C373" s="64" t="s">
        <v>435</v>
      </c>
      <c r="D373" s="117">
        <v>9539</v>
      </c>
      <c r="E373" s="117"/>
      <c r="F373" s="131">
        <f>SUM(D373:E373)</f>
        <v>9539</v>
      </c>
    </row>
    <row r="374" spans="1:6" ht="10.5" customHeight="1">
      <c r="A374" s="358"/>
      <c r="B374" s="338"/>
      <c r="C374" s="74" t="s">
        <v>436</v>
      </c>
      <c r="D374" s="146">
        <v>9539</v>
      </c>
      <c r="E374" s="146"/>
      <c r="F374" s="157">
        <f>SUM(D374:E374)</f>
        <v>9539</v>
      </c>
    </row>
    <row r="375" spans="1:6" ht="10.5" customHeight="1">
      <c r="A375" s="334"/>
      <c r="B375" s="353" t="s">
        <v>628</v>
      </c>
      <c r="C375" s="80" t="s">
        <v>512</v>
      </c>
      <c r="D375" s="117"/>
      <c r="E375" s="117"/>
      <c r="F375" s="131"/>
    </row>
    <row r="376" spans="1:6" ht="10.5" customHeight="1">
      <c r="A376" s="334"/>
      <c r="B376" s="335"/>
      <c r="C376" s="64" t="s">
        <v>434</v>
      </c>
      <c r="D376" s="117">
        <v>0</v>
      </c>
      <c r="E376" s="117"/>
      <c r="F376" s="131">
        <v>0</v>
      </c>
    </row>
    <row r="377" spans="1:6" ht="10.5" customHeight="1">
      <c r="A377" s="334"/>
      <c r="B377" s="335"/>
      <c r="C377" s="64" t="s">
        <v>435</v>
      </c>
      <c r="D377" s="117">
        <v>21082</v>
      </c>
      <c r="E377" s="117"/>
      <c r="F377" s="131">
        <f>D377</f>
        <v>21082</v>
      </c>
    </row>
    <row r="378" spans="1:6" ht="10.5" customHeight="1">
      <c r="A378" s="334"/>
      <c r="B378" s="335"/>
      <c r="C378" s="74" t="s">
        <v>436</v>
      </c>
      <c r="D378" s="117">
        <v>21082</v>
      </c>
      <c r="E378" s="117"/>
      <c r="F378" s="131">
        <f>D378</f>
        <v>21082</v>
      </c>
    </row>
    <row r="379" spans="1:6" ht="10.5" customHeight="1">
      <c r="A379" s="334"/>
      <c r="B379" s="830">
        <v>5.6</v>
      </c>
      <c r="C379" s="831" t="s">
        <v>599</v>
      </c>
      <c r="D379" s="117"/>
      <c r="E379" s="117"/>
      <c r="F379" s="131"/>
    </row>
    <row r="380" spans="1:6" ht="10.5" customHeight="1">
      <c r="A380" s="334"/>
      <c r="B380" s="335"/>
      <c r="C380" s="64" t="s">
        <v>434</v>
      </c>
      <c r="D380" s="117">
        <v>0</v>
      </c>
      <c r="E380" s="117"/>
      <c r="F380" s="131">
        <f>D380</f>
        <v>0</v>
      </c>
    </row>
    <row r="381" spans="1:6" ht="10.5" customHeight="1">
      <c r="A381" s="334"/>
      <c r="B381" s="335"/>
      <c r="C381" s="64" t="s">
        <v>435</v>
      </c>
      <c r="D381" s="117">
        <v>29209</v>
      </c>
      <c r="E381" s="117"/>
      <c r="F381" s="131">
        <f>D381</f>
        <v>29209</v>
      </c>
    </row>
    <row r="382" spans="1:6" ht="10.5" customHeight="1" thickBot="1">
      <c r="A382" s="334"/>
      <c r="B382" s="335"/>
      <c r="C382" s="74" t="s">
        <v>436</v>
      </c>
      <c r="D382" s="117">
        <v>29209</v>
      </c>
      <c r="E382" s="117"/>
      <c r="F382" s="131">
        <f>D382</f>
        <v>29209</v>
      </c>
    </row>
    <row r="383" spans="1:6" ht="12" customHeight="1" thickBot="1" thickTop="1">
      <c r="A383" s="361"/>
      <c r="B383" s="340"/>
      <c r="C383" s="341" t="s">
        <v>3</v>
      </c>
      <c r="D383" s="188"/>
      <c r="E383" s="188"/>
      <c r="F383" s="189"/>
    </row>
    <row r="384" spans="1:6" ht="12" customHeight="1" thickTop="1">
      <c r="A384" s="342"/>
      <c r="B384" s="343"/>
      <c r="C384" s="67" t="s">
        <v>434</v>
      </c>
      <c r="D384" s="134">
        <f>D340+D344+D352+D356+D348</f>
        <v>421425</v>
      </c>
      <c r="E384" s="134">
        <v>0</v>
      </c>
      <c r="F384" s="135">
        <f>F340+F344+F352+F356+F348</f>
        <v>421425</v>
      </c>
    </row>
    <row r="385" spans="1:6" ht="12" customHeight="1">
      <c r="A385" s="350"/>
      <c r="B385" s="351"/>
      <c r="C385" s="67" t="s">
        <v>435</v>
      </c>
      <c r="D385" s="130">
        <f>D341+D345+D353+D357+D349</f>
        <v>538703</v>
      </c>
      <c r="E385" s="130">
        <v>0</v>
      </c>
      <c r="F385" s="131">
        <f>F341+F345+F353+F357+F349</f>
        <v>538703</v>
      </c>
    </row>
    <row r="386" spans="1:6" ht="12" customHeight="1">
      <c r="A386" s="344"/>
      <c r="B386" s="345"/>
      <c r="C386" s="67" t="s">
        <v>436</v>
      </c>
      <c r="D386" s="134">
        <f>D342+D346+D354+D358+D350</f>
        <v>538703</v>
      </c>
      <c r="E386" s="134">
        <v>0</v>
      </c>
      <c r="F386" s="135">
        <f>F342+F346+F354+F358+F350</f>
        <v>538703</v>
      </c>
    </row>
    <row r="387" spans="1:6" s="14" customFormat="1" ht="12" customHeight="1">
      <c r="A387" s="344" t="s">
        <v>199</v>
      </c>
      <c r="B387" s="345"/>
      <c r="C387" s="174" t="s">
        <v>200</v>
      </c>
      <c r="D387" s="130"/>
      <c r="E387" s="130"/>
      <c r="F387" s="131"/>
    </row>
    <row r="388" spans="1:6" ht="10.5" customHeight="1">
      <c r="A388" s="334"/>
      <c r="B388" s="335" t="s">
        <v>109</v>
      </c>
      <c r="C388" s="116" t="s">
        <v>201</v>
      </c>
      <c r="D388" s="117"/>
      <c r="E388" s="117"/>
      <c r="F388" s="131"/>
    </row>
    <row r="389" spans="1:6" ht="10.5" customHeight="1">
      <c r="A389" s="334"/>
      <c r="B389" s="335"/>
      <c r="C389" s="64" t="s">
        <v>434</v>
      </c>
      <c r="D389" s="117">
        <v>571</v>
      </c>
      <c r="E389" s="117"/>
      <c r="F389" s="131">
        <f>SUM(D389:E389)</f>
        <v>571</v>
      </c>
    </row>
    <row r="390" spans="1:6" ht="10.5" customHeight="1">
      <c r="A390" s="334"/>
      <c r="B390" s="335"/>
      <c r="C390" s="64" t="s">
        <v>435</v>
      </c>
      <c r="D390" s="117">
        <v>813</v>
      </c>
      <c r="E390" s="117"/>
      <c r="F390" s="131">
        <f>SUM(D390:E390)</f>
        <v>813</v>
      </c>
    </row>
    <row r="391" spans="1:6" ht="10.5" customHeight="1">
      <c r="A391" s="334"/>
      <c r="B391" s="335"/>
      <c r="C391" s="64" t="s">
        <v>436</v>
      </c>
      <c r="D391" s="117">
        <v>813</v>
      </c>
      <c r="E391" s="117"/>
      <c r="F391" s="131">
        <f>SUM(D391:E391)</f>
        <v>813</v>
      </c>
    </row>
    <row r="392" spans="1:6" ht="10.5" customHeight="1">
      <c r="A392" s="334"/>
      <c r="B392" s="335" t="s">
        <v>111</v>
      </c>
      <c r="C392" s="116" t="s">
        <v>202</v>
      </c>
      <c r="D392" s="117"/>
      <c r="E392" s="117"/>
      <c r="F392" s="131"/>
    </row>
    <row r="393" spans="1:6" ht="10.5" customHeight="1">
      <c r="A393" s="334"/>
      <c r="B393" s="335"/>
      <c r="C393" s="64" t="s">
        <v>434</v>
      </c>
      <c r="D393" s="117">
        <v>571</v>
      </c>
      <c r="E393" s="117"/>
      <c r="F393" s="131">
        <f>SUM(D393:E393)</f>
        <v>571</v>
      </c>
    </row>
    <row r="394" spans="1:6" ht="10.5" customHeight="1">
      <c r="A394" s="334"/>
      <c r="B394" s="335"/>
      <c r="C394" s="64" t="s">
        <v>435</v>
      </c>
      <c r="D394" s="117">
        <v>831</v>
      </c>
      <c r="E394" s="117"/>
      <c r="F394" s="131">
        <f>SUM(D394:E394)</f>
        <v>831</v>
      </c>
    </row>
    <row r="395" spans="1:6" ht="10.5" customHeight="1">
      <c r="A395" s="334"/>
      <c r="B395" s="335"/>
      <c r="C395" s="64" t="s">
        <v>436</v>
      </c>
      <c r="D395" s="117">
        <v>831</v>
      </c>
      <c r="E395" s="117"/>
      <c r="F395" s="131">
        <f>SUM(D395:E395)</f>
        <v>831</v>
      </c>
    </row>
    <row r="396" spans="1:6" ht="10.5" customHeight="1">
      <c r="A396" s="334"/>
      <c r="B396" s="335" t="s">
        <v>113</v>
      </c>
      <c r="C396" s="116" t="s">
        <v>203</v>
      </c>
      <c r="D396" s="117"/>
      <c r="E396" s="117"/>
      <c r="F396" s="131"/>
    </row>
    <row r="397" spans="1:6" ht="10.5" customHeight="1">
      <c r="A397" s="334"/>
      <c r="B397" s="335"/>
      <c r="C397" s="64" t="s">
        <v>434</v>
      </c>
      <c r="D397" s="117">
        <v>571</v>
      </c>
      <c r="E397" s="117"/>
      <c r="F397" s="131">
        <f>SUM(D397:E397)</f>
        <v>571</v>
      </c>
    </row>
    <row r="398" spans="1:6" ht="10.5" customHeight="1">
      <c r="A398" s="334"/>
      <c r="B398" s="335"/>
      <c r="C398" s="64" t="s">
        <v>435</v>
      </c>
      <c r="D398" s="117">
        <v>831</v>
      </c>
      <c r="E398" s="117"/>
      <c r="F398" s="131">
        <f>SUM(D398:E398)</f>
        <v>831</v>
      </c>
    </row>
    <row r="399" spans="1:6" ht="10.5" customHeight="1">
      <c r="A399" s="334"/>
      <c r="B399" s="335"/>
      <c r="C399" s="64" t="s">
        <v>436</v>
      </c>
      <c r="D399" s="117">
        <v>831</v>
      </c>
      <c r="E399" s="117"/>
      <c r="F399" s="131">
        <f>SUM(D399:E399)</f>
        <v>831</v>
      </c>
    </row>
    <row r="400" spans="1:6" ht="10.5" customHeight="1">
      <c r="A400" s="334"/>
      <c r="B400" s="335" t="s">
        <v>115</v>
      </c>
      <c r="C400" s="80" t="s">
        <v>629</v>
      </c>
      <c r="D400" s="117"/>
      <c r="E400" s="117"/>
      <c r="F400" s="131"/>
    </row>
    <row r="401" spans="1:6" ht="10.5" customHeight="1">
      <c r="A401" s="334"/>
      <c r="B401" s="335"/>
      <c r="C401" s="64" t="s">
        <v>434</v>
      </c>
      <c r="D401" s="117">
        <v>0</v>
      </c>
      <c r="E401" s="117"/>
      <c r="F401" s="131">
        <f>D401</f>
        <v>0</v>
      </c>
    </row>
    <row r="402" spans="1:6" ht="10.5" customHeight="1">
      <c r="A402" s="334"/>
      <c r="B402" s="335"/>
      <c r="C402" s="64" t="s">
        <v>435</v>
      </c>
      <c r="D402" s="117">
        <v>1347</v>
      </c>
      <c r="E402" s="117"/>
      <c r="F402" s="131">
        <f aca="true" t="shared" si="10" ref="F402:F415">D402</f>
        <v>1347</v>
      </c>
    </row>
    <row r="403" spans="1:6" ht="10.5" customHeight="1">
      <c r="A403" s="334"/>
      <c r="B403" s="335"/>
      <c r="C403" s="64" t="s">
        <v>436</v>
      </c>
      <c r="D403" s="117">
        <v>1347</v>
      </c>
      <c r="E403" s="117"/>
      <c r="F403" s="131">
        <f t="shared" si="10"/>
        <v>1347</v>
      </c>
    </row>
    <row r="404" spans="1:6" ht="10.5" customHeight="1">
      <c r="A404" s="334"/>
      <c r="B404" s="335" t="s">
        <v>117</v>
      </c>
      <c r="C404" s="433" t="s">
        <v>682</v>
      </c>
      <c r="D404" s="117"/>
      <c r="E404" s="117"/>
      <c r="F404" s="131" t="s">
        <v>314</v>
      </c>
    </row>
    <row r="405" spans="1:6" ht="10.5" customHeight="1">
      <c r="A405" s="334"/>
      <c r="B405" s="335"/>
      <c r="C405" s="64" t="s">
        <v>434</v>
      </c>
      <c r="D405" s="117">
        <v>0</v>
      </c>
      <c r="E405" s="117"/>
      <c r="F405" s="131">
        <f t="shared" si="10"/>
        <v>0</v>
      </c>
    </row>
    <row r="406" spans="1:6" ht="10.5" customHeight="1">
      <c r="A406" s="334"/>
      <c r="B406" s="335"/>
      <c r="C406" s="64" t="s">
        <v>435</v>
      </c>
      <c r="D406" s="117">
        <v>1937</v>
      </c>
      <c r="E406" s="117"/>
      <c r="F406" s="131">
        <f t="shared" si="10"/>
        <v>1937</v>
      </c>
    </row>
    <row r="407" spans="1:6" ht="10.5" customHeight="1">
      <c r="A407" s="334"/>
      <c r="B407" s="335"/>
      <c r="C407" s="64" t="s">
        <v>436</v>
      </c>
      <c r="D407" s="117">
        <v>1937</v>
      </c>
      <c r="E407" s="117"/>
      <c r="F407" s="131">
        <f t="shared" si="10"/>
        <v>1937</v>
      </c>
    </row>
    <row r="408" spans="1:6" ht="10.5" customHeight="1">
      <c r="A408" s="334"/>
      <c r="B408" s="335" t="s">
        <v>119</v>
      </c>
      <c r="C408" s="362" t="s">
        <v>589</v>
      </c>
      <c r="D408" s="117"/>
      <c r="E408" s="117"/>
      <c r="F408" s="131" t="s">
        <v>314</v>
      </c>
    </row>
    <row r="409" spans="1:6" ht="10.5" customHeight="1">
      <c r="A409" s="334"/>
      <c r="B409" s="335"/>
      <c r="C409" s="363" t="s">
        <v>434</v>
      </c>
      <c r="D409" s="117">
        <v>0</v>
      </c>
      <c r="E409" s="117"/>
      <c r="F409" s="131">
        <f t="shared" si="10"/>
        <v>0</v>
      </c>
    </row>
    <row r="410" spans="1:6" ht="10.5" customHeight="1">
      <c r="A410" s="335"/>
      <c r="B410" s="335"/>
      <c r="C410" s="363" t="s">
        <v>435</v>
      </c>
      <c r="D410" s="117">
        <v>18160</v>
      </c>
      <c r="E410" s="117"/>
      <c r="F410" s="131">
        <f t="shared" si="10"/>
        <v>18160</v>
      </c>
    </row>
    <row r="411" spans="1:6" ht="10.5" customHeight="1">
      <c r="A411" s="334"/>
      <c r="B411" s="335"/>
      <c r="C411" s="363" t="s">
        <v>436</v>
      </c>
      <c r="D411" s="117">
        <v>18160</v>
      </c>
      <c r="E411" s="117"/>
      <c r="F411" s="131">
        <f t="shared" si="10"/>
        <v>18160</v>
      </c>
    </row>
    <row r="412" spans="1:6" ht="10.5" customHeight="1">
      <c r="A412" s="334"/>
      <c r="B412" s="335" t="s">
        <v>121</v>
      </c>
      <c r="C412" s="362" t="s">
        <v>513</v>
      </c>
      <c r="D412" s="117"/>
      <c r="E412" s="117"/>
      <c r="F412" s="131" t="s">
        <v>314</v>
      </c>
    </row>
    <row r="413" spans="1:6" ht="10.5" customHeight="1">
      <c r="A413" s="334"/>
      <c r="B413" s="335"/>
      <c r="C413" s="64" t="s">
        <v>434</v>
      </c>
      <c r="D413" s="117">
        <v>0</v>
      </c>
      <c r="E413" s="117"/>
      <c r="F413" s="131">
        <f t="shared" si="10"/>
        <v>0</v>
      </c>
    </row>
    <row r="414" spans="1:6" ht="10.5" customHeight="1">
      <c r="A414" s="334"/>
      <c r="B414" s="335"/>
      <c r="C414" s="64" t="s">
        <v>435</v>
      </c>
      <c r="D414" s="117">
        <v>110</v>
      </c>
      <c r="E414" s="117"/>
      <c r="F414" s="131">
        <f t="shared" si="10"/>
        <v>110</v>
      </c>
    </row>
    <row r="415" spans="1:6" ht="10.5" customHeight="1">
      <c r="A415" s="346"/>
      <c r="B415" s="347"/>
      <c r="C415" s="348" t="s">
        <v>436</v>
      </c>
      <c r="D415" s="146">
        <v>110</v>
      </c>
      <c r="E415" s="146"/>
      <c r="F415" s="157">
        <f t="shared" si="10"/>
        <v>110</v>
      </c>
    </row>
    <row r="416" spans="1:6" ht="10.5" customHeight="1">
      <c r="A416" s="334"/>
      <c r="B416" s="335" t="s">
        <v>122</v>
      </c>
      <c r="C416" s="362" t="s">
        <v>600</v>
      </c>
      <c r="D416" s="117"/>
      <c r="E416" s="117"/>
      <c r="F416" s="131"/>
    </row>
    <row r="417" spans="1:6" ht="10.5" customHeight="1">
      <c r="A417" s="334"/>
      <c r="B417" s="335"/>
      <c r="C417" s="64" t="s">
        <v>434</v>
      </c>
      <c r="D417" s="117">
        <v>0</v>
      </c>
      <c r="E417" s="117"/>
      <c r="F417" s="131">
        <f>D417+E417</f>
        <v>0</v>
      </c>
    </row>
    <row r="418" spans="1:6" ht="10.5" customHeight="1">
      <c r="A418" s="334"/>
      <c r="B418" s="335"/>
      <c r="C418" s="64" t="s">
        <v>435</v>
      </c>
      <c r="D418" s="117">
        <v>495</v>
      </c>
      <c r="E418" s="117"/>
      <c r="F418" s="131">
        <f aca="true" t="shared" si="11" ref="F418:F427">D418+E418</f>
        <v>495</v>
      </c>
    </row>
    <row r="419" spans="1:6" ht="10.5" customHeight="1">
      <c r="A419" s="354"/>
      <c r="B419" s="335"/>
      <c r="C419" s="348" t="s">
        <v>436</v>
      </c>
      <c r="D419" s="117">
        <v>495</v>
      </c>
      <c r="E419" s="117"/>
      <c r="F419" s="131">
        <f t="shared" si="11"/>
        <v>495</v>
      </c>
    </row>
    <row r="420" spans="1:6" ht="10.5" customHeight="1">
      <c r="A420" s="354"/>
      <c r="B420" s="335" t="s">
        <v>124</v>
      </c>
      <c r="C420" s="433" t="s">
        <v>700</v>
      </c>
      <c r="D420" s="117"/>
      <c r="E420" s="117"/>
      <c r="F420" s="131"/>
    </row>
    <row r="421" spans="1:6" ht="10.5" customHeight="1">
      <c r="A421" s="354"/>
      <c r="B421" s="335"/>
      <c r="C421" s="64" t="s">
        <v>434</v>
      </c>
      <c r="D421" s="117">
        <v>0</v>
      </c>
      <c r="E421" s="117"/>
      <c r="F421" s="131">
        <f t="shared" si="11"/>
        <v>0</v>
      </c>
    </row>
    <row r="422" spans="1:6" ht="10.5" customHeight="1">
      <c r="A422" s="354"/>
      <c r="B422" s="335"/>
      <c r="C422" s="64" t="s">
        <v>435</v>
      </c>
      <c r="D422" s="117">
        <v>1500</v>
      </c>
      <c r="E422" s="117">
        <v>3188</v>
      </c>
      <c r="F422" s="131">
        <f t="shared" si="11"/>
        <v>4688</v>
      </c>
    </row>
    <row r="423" spans="1:6" ht="10.5" customHeight="1">
      <c r="A423" s="354"/>
      <c r="B423" s="335"/>
      <c r="C423" s="298" t="s">
        <v>436</v>
      </c>
      <c r="D423" s="117">
        <v>1500</v>
      </c>
      <c r="E423" s="117">
        <v>3188</v>
      </c>
      <c r="F423" s="131">
        <f t="shared" si="11"/>
        <v>4688</v>
      </c>
    </row>
    <row r="424" spans="1:6" ht="10.5" customHeight="1">
      <c r="A424" s="354"/>
      <c r="B424" s="335" t="s">
        <v>126</v>
      </c>
      <c r="C424" s="116" t="s">
        <v>742</v>
      </c>
      <c r="D424" s="117"/>
      <c r="E424" s="117"/>
      <c r="F424" s="131"/>
    </row>
    <row r="425" spans="1:6" ht="10.5" customHeight="1">
      <c r="A425" s="354"/>
      <c r="B425" s="335"/>
      <c r="C425" s="64" t="s">
        <v>434</v>
      </c>
      <c r="D425" s="117">
        <v>0</v>
      </c>
      <c r="E425" s="117"/>
      <c r="F425" s="131">
        <f t="shared" si="11"/>
        <v>0</v>
      </c>
    </row>
    <row r="426" spans="1:6" ht="10.5" customHeight="1">
      <c r="A426" s="354"/>
      <c r="B426" s="335"/>
      <c r="C426" s="64" t="s">
        <v>435</v>
      </c>
      <c r="D426" s="117">
        <v>639</v>
      </c>
      <c r="E426" s="117"/>
      <c r="F426" s="131">
        <f t="shared" si="11"/>
        <v>639</v>
      </c>
    </row>
    <row r="427" spans="1:6" ht="10.5" customHeight="1">
      <c r="A427" s="354"/>
      <c r="B427" s="335"/>
      <c r="C427" s="348" t="s">
        <v>436</v>
      </c>
      <c r="D427" s="117">
        <v>639</v>
      </c>
      <c r="E427" s="117"/>
      <c r="F427" s="131">
        <f t="shared" si="11"/>
        <v>639</v>
      </c>
    </row>
    <row r="428" spans="1:6" ht="10.5" customHeight="1">
      <c r="A428" s="337"/>
      <c r="B428" s="347" t="s">
        <v>127</v>
      </c>
      <c r="C428" s="80" t="s">
        <v>1</v>
      </c>
      <c r="D428" s="146"/>
      <c r="E428" s="146"/>
      <c r="F428" s="135"/>
    </row>
    <row r="429" spans="1:6" ht="10.5" customHeight="1">
      <c r="A429" s="354"/>
      <c r="B429" s="335"/>
      <c r="C429" s="64" t="s">
        <v>434</v>
      </c>
      <c r="D429" s="117"/>
      <c r="E429" s="117"/>
      <c r="F429" s="131">
        <f>D429+E429</f>
        <v>0</v>
      </c>
    </row>
    <row r="430" spans="1:6" ht="10.5" customHeight="1">
      <c r="A430" s="354"/>
      <c r="B430" s="335"/>
      <c r="C430" s="64" t="s">
        <v>435</v>
      </c>
      <c r="D430" s="117"/>
      <c r="E430" s="117">
        <v>4297</v>
      </c>
      <c r="F430" s="131">
        <f>D430+E430</f>
        <v>4297</v>
      </c>
    </row>
    <row r="431" spans="1:6" ht="10.5" customHeight="1" thickBot="1">
      <c r="A431" s="337"/>
      <c r="B431" s="347"/>
      <c r="C431" s="348" t="s">
        <v>436</v>
      </c>
      <c r="D431" s="146"/>
      <c r="E431" s="146">
        <v>4297</v>
      </c>
      <c r="F431" s="157">
        <f>D431+E431</f>
        <v>4297</v>
      </c>
    </row>
    <row r="432" spans="1:6" ht="12" customHeight="1" thickBot="1" thickTop="1">
      <c r="A432" s="339"/>
      <c r="B432" s="340"/>
      <c r="C432" s="341" t="s">
        <v>701</v>
      </c>
      <c r="D432" s="188"/>
      <c r="E432" s="188"/>
      <c r="F432" s="189"/>
    </row>
    <row r="433" spans="1:6" ht="12" customHeight="1" thickTop="1">
      <c r="A433" s="342"/>
      <c r="B433" s="343"/>
      <c r="C433" s="249" t="s">
        <v>434</v>
      </c>
      <c r="D433" s="866">
        <f>D389+D393+D397+D409</f>
        <v>1713</v>
      </c>
      <c r="E433" s="866">
        <f>E389+E393+E397+E409</f>
        <v>0</v>
      </c>
      <c r="F433" s="867">
        <f>F389+F393+F397+F409</f>
        <v>1713</v>
      </c>
    </row>
    <row r="434" spans="1:6" ht="12" customHeight="1">
      <c r="A434" s="350"/>
      <c r="B434" s="351"/>
      <c r="C434" s="67" t="s">
        <v>435</v>
      </c>
      <c r="D434" s="145">
        <f>D390+D394+D398+D410+D402+D406+D414+D418+D422+D426</f>
        <v>26663</v>
      </c>
      <c r="E434" s="145">
        <f>E390+E394+E398+E410+E402+E406+E414+E418+E422+E426+E430</f>
        <v>7485</v>
      </c>
      <c r="F434" s="154">
        <f>F390+F394+F398+F410+F402+F406+F414+F418+F422+F426+F430</f>
        <v>34148</v>
      </c>
    </row>
    <row r="435" spans="1:6" ht="12" customHeight="1">
      <c r="A435" s="344"/>
      <c r="B435" s="345"/>
      <c r="C435" s="67" t="s">
        <v>436</v>
      </c>
      <c r="D435" s="145">
        <f>D391+D395+D399+D411+D403+D407+D415+D419+D423+D427</f>
        <v>26663</v>
      </c>
      <c r="E435" s="145">
        <f>E391+E395+E399+E411+E403+E407+E415+E419+E423+E427+E431</f>
        <v>7485</v>
      </c>
      <c r="F435" s="154">
        <f>F391+F395+F399+F411+F403+F407+F415+F419+F423+F427+F431</f>
        <v>34148</v>
      </c>
    </row>
    <row r="436" spans="1:6" s="14" customFormat="1" ht="12" customHeight="1">
      <c r="A436" s="364" t="s">
        <v>204</v>
      </c>
      <c r="B436" s="345"/>
      <c r="C436" s="174" t="s">
        <v>123</v>
      </c>
      <c r="D436" s="130"/>
      <c r="E436" s="130"/>
      <c r="F436" s="131"/>
    </row>
    <row r="437" spans="1:6" s="14" customFormat="1" ht="10.5" customHeight="1">
      <c r="A437" s="344"/>
      <c r="B437" s="335" t="s">
        <v>109</v>
      </c>
      <c r="C437" s="116" t="s">
        <v>205</v>
      </c>
      <c r="D437" s="117"/>
      <c r="E437" s="130"/>
      <c r="F437" s="131"/>
    </row>
    <row r="438" spans="1:6" s="14" customFormat="1" ht="10.5" customHeight="1">
      <c r="A438" s="344"/>
      <c r="B438" s="335"/>
      <c r="C438" s="64" t="s">
        <v>434</v>
      </c>
      <c r="D438" s="117">
        <v>120939</v>
      </c>
      <c r="E438" s="130"/>
      <c r="F438" s="131">
        <f>SUM(D438:E438)</f>
        <v>120939</v>
      </c>
    </row>
    <row r="439" spans="1:6" s="14" customFormat="1" ht="10.5" customHeight="1">
      <c r="A439" s="344"/>
      <c r="B439" s="335"/>
      <c r="C439" s="64" t="s">
        <v>435</v>
      </c>
      <c r="D439" s="117">
        <v>149842</v>
      </c>
      <c r="E439" s="130"/>
      <c r="F439" s="131">
        <f>SUM(D439:E439)</f>
        <v>149842</v>
      </c>
    </row>
    <row r="440" spans="1:6" s="14" customFormat="1" ht="10.5" customHeight="1">
      <c r="A440" s="344"/>
      <c r="B440" s="335"/>
      <c r="C440" s="64" t="s">
        <v>436</v>
      </c>
      <c r="D440" s="117">
        <v>0</v>
      </c>
      <c r="E440" s="130"/>
      <c r="F440" s="131">
        <f>SUM(D440:E440)</f>
        <v>0</v>
      </c>
    </row>
    <row r="441" spans="1:6" s="14" customFormat="1" ht="10.5" customHeight="1">
      <c r="A441" s="344"/>
      <c r="B441" s="335" t="s">
        <v>111</v>
      </c>
      <c r="C441" s="116" t="s">
        <v>601</v>
      </c>
      <c r="D441" s="130"/>
      <c r="E441" s="117"/>
      <c r="F441" s="131"/>
    </row>
    <row r="442" spans="1:6" s="14" customFormat="1" ht="10.5" customHeight="1">
      <c r="A442" s="344"/>
      <c r="B442" s="335"/>
      <c r="C442" s="64" t="s">
        <v>434</v>
      </c>
      <c r="D442" s="117">
        <v>0</v>
      </c>
      <c r="E442" s="117">
        <v>0</v>
      </c>
      <c r="F442" s="131">
        <f>SUM(D442:E442)</f>
        <v>0</v>
      </c>
    </row>
    <row r="443" spans="1:6" s="14" customFormat="1" ht="10.5" customHeight="1">
      <c r="A443" s="344"/>
      <c r="B443" s="335"/>
      <c r="C443" s="64" t="s">
        <v>435</v>
      </c>
      <c r="D443" s="117">
        <v>49558</v>
      </c>
      <c r="E443" s="117">
        <v>0</v>
      </c>
      <c r="F443" s="131">
        <f>SUM(D443:E443)</f>
        <v>49558</v>
      </c>
    </row>
    <row r="444" spans="1:6" s="14" customFormat="1" ht="10.5" customHeight="1" thickBot="1">
      <c r="A444" s="357"/>
      <c r="B444" s="338"/>
      <c r="C444" s="74" t="s">
        <v>436</v>
      </c>
      <c r="D444" s="146">
        <v>0</v>
      </c>
      <c r="E444" s="146">
        <v>0</v>
      </c>
      <c r="F444" s="157">
        <f>SUM(D444:E444)</f>
        <v>0</v>
      </c>
    </row>
    <row r="445" spans="1:6" s="14" customFormat="1" ht="12" customHeight="1" thickBot="1" thickTop="1">
      <c r="A445" s="339"/>
      <c r="B445" s="340"/>
      <c r="C445" s="341" t="s">
        <v>485</v>
      </c>
      <c r="D445" s="188"/>
      <c r="E445" s="188"/>
      <c r="F445" s="189"/>
    </row>
    <row r="446" spans="1:6" s="14" customFormat="1" ht="12" customHeight="1" thickTop="1">
      <c r="A446" s="352"/>
      <c r="B446" s="343"/>
      <c r="C446" s="249" t="s">
        <v>434</v>
      </c>
      <c r="D446" s="866">
        <f aca="true" t="shared" si="12" ref="D446:F448">D438+D442</f>
        <v>120939</v>
      </c>
      <c r="E446" s="866">
        <f t="shared" si="12"/>
        <v>0</v>
      </c>
      <c r="F446" s="867">
        <f t="shared" si="12"/>
        <v>120939</v>
      </c>
    </row>
    <row r="447" spans="1:6" s="14" customFormat="1" ht="12" customHeight="1">
      <c r="A447" s="365"/>
      <c r="B447" s="345"/>
      <c r="C447" s="67" t="s">
        <v>435</v>
      </c>
      <c r="D447" s="130">
        <f t="shared" si="12"/>
        <v>199400</v>
      </c>
      <c r="E447" s="130">
        <f t="shared" si="12"/>
        <v>0</v>
      </c>
      <c r="F447" s="131">
        <f t="shared" si="12"/>
        <v>199400</v>
      </c>
    </row>
    <row r="448" spans="1:6" s="14" customFormat="1" ht="12" customHeight="1">
      <c r="A448" s="357"/>
      <c r="B448" s="106"/>
      <c r="C448" s="67" t="s">
        <v>436</v>
      </c>
      <c r="D448" s="130">
        <f t="shared" si="12"/>
        <v>0</v>
      </c>
      <c r="E448" s="130">
        <f t="shared" si="12"/>
        <v>0</v>
      </c>
      <c r="F448" s="131">
        <f t="shared" si="12"/>
        <v>0</v>
      </c>
    </row>
    <row r="449" spans="1:6" ht="12" customHeight="1">
      <c r="A449" s="344" t="s">
        <v>461</v>
      </c>
      <c r="B449" s="345"/>
      <c r="C449" s="174" t="s">
        <v>652</v>
      </c>
      <c r="D449" s="130"/>
      <c r="E449" s="130"/>
      <c r="F449" s="131"/>
    </row>
    <row r="450" spans="1:6" ht="21" customHeight="1">
      <c r="A450" s="344"/>
      <c r="B450" s="345" t="s">
        <v>109</v>
      </c>
      <c r="C450" s="58" t="s">
        <v>606</v>
      </c>
      <c r="D450" s="130"/>
      <c r="E450" s="130"/>
      <c r="F450" s="131"/>
    </row>
    <row r="451" spans="1:6" ht="10.5" customHeight="1">
      <c r="A451" s="344"/>
      <c r="B451" s="345"/>
      <c r="C451" s="64" t="s">
        <v>434</v>
      </c>
      <c r="D451" s="130"/>
      <c r="E451" s="117">
        <v>0</v>
      </c>
      <c r="F451" s="131">
        <f>SUM(E451)</f>
        <v>0</v>
      </c>
    </row>
    <row r="452" spans="1:6" ht="10.5" customHeight="1">
      <c r="A452" s="344"/>
      <c r="B452" s="345"/>
      <c r="C452" s="64" t="s">
        <v>435</v>
      </c>
      <c r="D452" s="130"/>
      <c r="E452" s="117">
        <v>2937</v>
      </c>
      <c r="F452" s="131">
        <f>SUM(E452)</f>
        <v>2937</v>
      </c>
    </row>
    <row r="453" spans="1:6" ht="10.5" customHeight="1">
      <c r="A453" s="344"/>
      <c r="B453" s="345"/>
      <c r="C453" s="64" t="s">
        <v>436</v>
      </c>
      <c r="D453" s="130"/>
      <c r="E453" s="117">
        <v>2937</v>
      </c>
      <c r="F453" s="131">
        <f>SUM(E453)</f>
        <v>2937</v>
      </c>
    </row>
    <row r="454" spans="1:6" ht="10.5" customHeight="1">
      <c r="A454" s="344"/>
      <c r="B454" s="345" t="s">
        <v>111</v>
      </c>
      <c r="C454" s="58" t="s">
        <v>607</v>
      </c>
      <c r="D454" s="130"/>
      <c r="E454" s="117"/>
      <c r="F454" s="131"/>
    </row>
    <row r="455" spans="1:6" ht="10.5" customHeight="1">
      <c r="A455" s="344"/>
      <c r="B455" s="345"/>
      <c r="C455" s="64" t="s">
        <v>434</v>
      </c>
      <c r="D455" s="130"/>
      <c r="E455" s="117">
        <v>0</v>
      </c>
      <c r="F455" s="131">
        <f>SUM(E455)</f>
        <v>0</v>
      </c>
    </row>
    <row r="456" spans="1:6" ht="10.5" customHeight="1">
      <c r="A456" s="344"/>
      <c r="B456" s="345"/>
      <c r="C456" s="64" t="s">
        <v>435</v>
      </c>
      <c r="D456" s="130"/>
      <c r="E456" s="117">
        <v>10137</v>
      </c>
      <c r="F456" s="131">
        <f>SUM(E456)</f>
        <v>10137</v>
      </c>
    </row>
    <row r="457" spans="1:6" ht="10.5" customHeight="1">
      <c r="A457" s="344"/>
      <c r="B457" s="345"/>
      <c r="C457" s="64" t="s">
        <v>436</v>
      </c>
      <c r="D457" s="130"/>
      <c r="E457" s="117">
        <v>10137</v>
      </c>
      <c r="F457" s="131">
        <f>SUM(E457)</f>
        <v>10137</v>
      </c>
    </row>
    <row r="458" spans="1:6" ht="10.5" customHeight="1">
      <c r="A458" s="344"/>
      <c r="B458" s="345" t="s">
        <v>113</v>
      </c>
      <c r="C458" s="58" t="s">
        <v>653</v>
      </c>
      <c r="D458" s="130"/>
      <c r="E458" s="117"/>
      <c r="F458" s="131"/>
    </row>
    <row r="459" spans="1:6" ht="10.5" customHeight="1">
      <c r="A459" s="344"/>
      <c r="B459" s="345"/>
      <c r="C459" s="64" t="s">
        <v>434</v>
      </c>
      <c r="D459" s="130"/>
      <c r="E459" s="117">
        <v>0</v>
      </c>
      <c r="F459" s="131">
        <f>SUM(E459)</f>
        <v>0</v>
      </c>
    </row>
    <row r="460" spans="1:6" ht="10.5" customHeight="1">
      <c r="A460" s="344"/>
      <c r="B460" s="345"/>
      <c r="C460" s="64" t="s">
        <v>435</v>
      </c>
      <c r="D460" s="130"/>
      <c r="E460" s="117">
        <v>20569</v>
      </c>
      <c r="F460" s="131">
        <f>SUM(E460)</f>
        <v>20569</v>
      </c>
    </row>
    <row r="461" spans="1:6" ht="11.25" customHeight="1">
      <c r="A461" s="344"/>
      <c r="B461" s="345"/>
      <c r="C461" s="64" t="s">
        <v>436</v>
      </c>
      <c r="D461" s="130"/>
      <c r="E461" s="117">
        <v>0</v>
      </c>
      <c r="F461" s="131">
        <f>SUM(E461)</f>
        <v>0</v>
      </c>
    </row>
    <row r="462" spans="1:6" ht="11.25" customHeight="1">
      <c r="A462" s="357"/>
      <c r="B462" s="106" t="s">
        <v>115</v>
      </c>
      <c r="C462" s="434" t="s">
        <v>375</v>
      </c>
      <c r="D462" s="134"/>
      <c r="E462" s="146"/>
      <c r="F462" s="135"/>
    </row>
    <row r="463" spans="1:6" ht="11.25" customHeight="1">
      <c r="A463" s="344"/>
      <c r="B463" s="345"/>
      <c r="C463" s="64" t="s">
        <v>434</v>
      </c>
      <c r="D463" s="130"/>
      <c r="E463" s="117">
        <v>0</v>
      </c>
      <c r="F463" s="131">
        <v>0</v>
      </c>
    </row>
    <row r="464" spans="1:6" ht="11.25" customHeight="1">
      <c r="A464" s="344"/>
      <c r="B464" s="345"/>
      <c r="C464" s="64" t="s">
        <v>435</v>
      </c>
      <c r="D464" s="130"/>
      <c r="E464" s="117">
        <v>1053</v>
      </c>
      <c r="F464" s="131">
        <v>1053</v>
      </c>
    </row>
    <row r="465" spans="1:6" ht="11.25" customHeight="1">
      <c r="A465" s="344"/>
      <c r="B465" s="345"/>
      <c r="C465" s="64" t="s">
        <v>436</v>
      </c>
      <c r="D465" s="130"/>
      <c r="E465" s="117">
        <v>0</v>
      </c>
      <c r="F465" s="131">
        <v>0</v>
      </c>
    </row>
    <row r="466" spans="1:6" ht="11.25" customHeight="1">
      <c r="A466" s="344"/>
      <c r="B466" s="345" t="s">
        <v>117</v>
      </c>
      <c r="C466" s="80" t="s">
        <v>376</v>
      </c>
      <c r="D466" s="130"/>
      <c r="E466" s="117"/>
      <c r="F466" s="131"/>
    </row>
    <row r="467" spans="1:6" ht="11.25" customHeight="1">
      <c r="A467" s="344"/>
      <c r="B467" s="345"/>
      <c r="C467" s="64" t="s">
        <v>434</v>
      </c>
      <c r="D467" s="130"/>
      <c r="E467" s="117">
        <v>0</v>
      </c>
      <c r="F467" s="131">
        <v>0</v>
      </c>
    </row>
    <row r="468" spans="1:6" ht="11.25" customHeight="1">
      <c r="A468" s="344"/>
      <c r="B468" s="345"/>
      <c r="C468" s="64" t="s">
        <v>435</v>
      </c>
      <c r="D468" s="130"/>
      <c r="E468" s="117">
        <v>601</v>
      </c>
      <c r="F468" s="131">
        <v>601</v>
      </c>
    </row>
    <row r="469" spans="1:6" ht="11.25" customHeight="1" thickBot="1">
      <c r="A469" s="357"/>
      <c r="B469" s="106"/>
      <c r="C469" s="64" t="s">
        <v>436</v>
      </c>
      <c r="D469" s="134"/>
      <c r="E469" s="146">
        <v>0</v>
      </c>
      <c r="F469" s="135">
        <v>0</v>
      </c>
    </row>
    <row r="470" spans="1:6" ht="12" customHeight="1" thickBot="1" thickTop="1">
      <c r="A470" s="339"/>
      <c r="B470" s="340"/>
      <c r="C470" s="341" t="s">
        <v>702</v>
      </c>
      <c r="D470" s="188"/>
      <c r="E470" s="188"/>
      <c r="F470" s="189"/>
    </row>
    <row r="471" spans="1:6" ht="12" customHeight="1" thickTop="1">
      <c r="A471" s="366"/>
      <c r="B471" s="367"/>
      <c r="C471" s="67" t="s">
        <v>434</v>
      </c>
      <c r="D471" s="865">
        <f aca="true" t="shared" si="13" ref="D471:F473">D451+D455+D459</f>
        <v>0</v>
      </c>
      <c r="E471" s="865">
        <f t="shared" si="13"/>
        <v>0</v>
      </c>
      <c r="F471" s="193">
        <f t="shared" si="13"/>
        <v>0</v>
      </c>
    </row>
    <row r="472" spans="1:6" ht="12" customHeight="1">
      <c r="A472" s="344"/>
      <c r="B472" s="345"/>
      <c r="C472" s="67" t="s">
        <v>435</v>
      </c>
      <c r="D472" s="130">
        <f t="shared" si="13"/>
        <v>0</v>
      </c>
      <c r="E472" s="130">
        <f>E452+E456+E460+E464+E468</f>
        <v>35297</v>
      </c>
      <c r="F472" s="131">
        <f>F452+F456+F460+F464+F468</f>
        <v>35297</v>
      </c>
    </row>
    <row r="473" spans="1:6" ht="12" customHeight="1" thickBot="1">
      <c r="A473" s="344"/>
      <c r="B473" s="345"/>
      <c r="C473" s="67" t="s">
        <v>436</v>
      </c>
      <c r="D473" s="134">
        <f t="shared" si="13"/>
        <v>0</v>
      </c>
      <c r="E473" s="134">
        <f t="shared" si="13"/>
        <v>13074</v>
      </c>
      <c r="F473" s="135">
        <f t="shared" si="13"/>
        <v>13074</v>
      </c>
    </row>
    <row r="474" spans="1:6" ht="12" customHeight="1">
      <c r="A474" s="368" t="s">
        <v>206</v>
      </c>
      <c r="B474" s="333"/>
      <c r="C474" s="369" t="s">
        <v>462</v>
      </c>
      <c r="D474" s="126"/>
      <c r="E474" s="126"/>
      <c r="F474" s="127"/>
    </row>
    <row r="475" spans="1:6" ht="10.5" customHeight="1">
      <c r="A475" s="370"/>
      <c r="B475" s="335" t="s">
        <v>109</v>
      </c>
      <c r="C475" s="116" t="s">
        <v>462</v>
      </c>
      <c r="D475" s="117"/>
      <c r="E475" s="117"/>
      <c r="F475" s="131"/>
    </row>
    <row r="476" spans="1:6" ht="12" customHeight="1">
      <c r="A476" s="370"/>
      <c r="B476" s="335"/>
      <c r="C476" s="64" t="s">
        <v>434</v>
      </c>
      <c r="D476" s="117">
        <v>0</v>
      </c>
      <c r="E476" s="117">
        <v>0</v>
      </c>
      <c r="F476" s="131">
        <f>SUM(D476:E476)</f>
        <v>0</v>
      </c>
    </row>
    <row r="477" spans="1:6" ht="12" customHeight="1">
      <c r="A477" s="370"/>
      <c r="B477" s="335"/>
      <c r="C477" s="64" t="s">
        <v>435</v>
      </c>
      <c r="D477" s="117">
        <v>0</v>
      </c>
      <c r="E477" s="117">
        <v>886711</v>
      </c>
      <c r="F477" s="131">
        <f>SUM(D477:E477)</f>
        <v>886711</v>
      </c>
    </row>
    <row r="478" spans="1:6" ht="12" customHeight="1" thickBot="1">
      <c r="A478" s="370"/>
      <c r="B478" s="335"/>
      <c r="C478" s="64" t="s">
        <v>436</v>
      </c>
      <c r="D478" s="117">
        <v>0</v>
      </c>
      <c r="E478" s="117">
        <v>0</v>
      </c>
      <c r="F478" s="131">
        <f>SUM(D478:E478)</f>
        <v>0</v>
      </c>
    </row>
    <row r="479" spans="1:6" ht="12" customHeight="1" thickBot="1" thickTop="1">
      <c r="A479" s="339"/>
      <c r="B479" s="340"/>
      <c r="C479" s="371" t="s">
        <v>630</v>
      </c>
      <c r="D479" s="188"/>
      <c r="E479" s="188"/>
      <c r="F479" s="189"/>
    </row>
    <row r="480" spans="1:6" ht="12" customHeight="1" thickTop="1">
      <c r="A480" s="357"/>
      <c r="B480" s="351"/>
      <c r="C480" s="67" t="s">
        <v>434</v>
      </c>
      <c r="D480" s="134">
        <f>D476</f>
        <v>0</v>
      </c>
      <c r="E480" s="134">
        <f>E476</f>
        <v>0</v>
      </c>
      <c r="F480" s="135">
        <f>F476</f>
        <v>0</v>
      </c>
    </row>
    <row r="481" spans="1:6" ht="12" customHeight="1">
      <c r="A481" s="344"/>
      <c r="B481" s="345"/>
      <c r="C481" s="67" t="s">
        <v>435</v>
      </c>
      <c r="D481" s="130">
        <f aca="true" t="shared" si="14" ref="D481:F482">D477</f>
        <v>0</v>
      </c>
      <c r="E481" s="130">
        <f t="shared" si="14"/>
        <v>886711</v>
      </c>
      <c r="F481" s="131">
        <f t="shared" si="14"/>
        <v>886711</v>
      </c>
    </row>
    <row r="482" spans="1:6" ht="12" customHeight="1">
      <c r="A482" s="851"/>
      <c r="B482" s="852"/>
      <c r="C482" s="66" t="s">
        <v>436</v>
      </c>
      <c r="D482" s="134">
        <f t="shared" si="14"/>
        <v>0</v>
      </c>
      <c r="E482" s="134">
        <f>E478</f>
        <v>0</v>
      </c>
      <c r="F482" s="157">
        <f t="shared" si="14"/>
        <v>0</v>
      </c>
    </row>
    <row r="483" spans="1:6" ht="12" customHeight="1">
      <c r="A483" s="851" t="s">
        <v>603</v>
      </c>
      <c r="B483" s="852"/>
      <c r="C483" s="915" t="s">
        <v>604</v>
      </c>
      <c r="D483" s="130"/>
      <c r="E483" s="130"/>
      <c r="F483" s="157"/>
    </row>
    <row r="484" spans="1:6" ht="12" customHeight="1">
      <c r="A484" s="851"/>
      <c r="B484" s="852"/>
      <c r="C484" s="67" t="s">
        <v>434</v>
      </c>
      <c r="D484" s="130">
        <v>0</v>
      </c>
      <c r="E484" s="130"/>
      <c r="F484" s="157">
        <f>SUM(D484:E484)</f>
        <v>0</v>
      </c>
    </row>
    <row r="485" spans="1:6" ht="12" customHeight="1">
      <c r="A485" s="851"/>
      <c r="B485" s="852"/>
      <c r="C485" s="67" t="s">
        <v>435</v>
      </c>
      <c r="D485" s="130">
        <v>3632</v>
      </c>
      <c r="E485" s="130"/>
      <c r="F485" s="157">
        <f>SUM(D485:E485)</f>
        <v>3632</v>
      </c>
    </row>
    <row r="486" spans="1:6" ht="12" customHeight="1">
      <c r="A486" s="851"/>
      <c r="B486" s="852"/>
      <c r="C486" s="66" t="s">
        <v>436</v>
      </c>
      <c r="D486" s="134">
        <v>7131</v>
      </c>
      <c r="E486" s="134"/>
      <c r="F486" s="157">
        <f>SUM(D486:E486)</f>
        <v>7131</v>
      </c>
    </row>
    <row r="487" spans="1:6" ht="12" customHeight="1">
      <c r="A487" s="344" t="s">
        <v>602</v>
      </c>
      <c r="B487" s="345"/>
      <c r="C487" s="853" t="s">
        <v>361</v>
      </c>
      <c r="D487" s="130"/>
      <c r="E487" s="130"/>
      <c r="F487" s="131"/>
    </row>
    <row r="488" spans="1:6" ht="10.5" customHeight="1">
      <c r="A488" s="344"/>
      <c r="B488" s="345"/>
      <c r="C488" s="67" t="s">
        <v>434</v>
      </c>
      <c r="D488" s="130">
        <v>0</v>
      </c>
      <c r="E488" s="130"/>
      <c r="F488" s="131">
        <f>D488</f>
        <v>0</v>
      </c>
    </row>
    <row r="489" spans="1:6" ht="10.5" customHeight="1">
      <c r="A489" s="344"/>
      <c r="B489" s="345"/>
      <c r="C489" s="67" t="s">
        <v>435</v>
      </c>
      <c r="D489" s="130">
        <v>3000</v>
      </c>
      <c r="E489" s="130"/>
      <c r="F489" s="131">
        <f>D489</f>
        <v>3000</v>
      </c>
    </row>
    <row r="490" spans="1:6" ht="12" customHeight="1" thickBot="1">
      <c r="A490" s="1240"/>
      <c r="B490" s="376"/>
      <c r="C490" s="377" t="s">
        <v>436</v>
      </c>
      <c r="D490" s="878">
        <v>3000</v>
      </c>
      <c r="E490" s="878"/>
      <c r="F490" s="879">
        <f>D490</f>
        <v>3000</v>
      </c>
    </row>
    <row r="491" spans="1:6" ht="12" customHeight="1" thickBot="1" thickTop="1">
      <c r="A491" s="1288" t="s">
        <v>605</v>
      </c>
      <c r="B491" s="1289"/>
      <c r="C491" s="1290"/>
      <c r="D491" s="188"/>
      <c r="E491" s="188"/>
      <c r="F491" s="189"/>
    </row>
    <row r="492" spans="1:6" ht="12" customHeight="1" thickTop="1">
      <c r="A492" s="366"/>
      <c r="B492" s="372"/>
      <c r="C492" s="249" t="s">
        <v>434</v>
      </c>
      <c r="D492" s="865">
        <f>D384+D433+D471+D300+D335+D124+D71+D446+D162+D480+D488</f>
        <v>1764907</v>
      </c>
      <c r="E492" s="865">
        <f>E384+E433+E471+E300+E335+E124+E71+E446+E162+E480+E488</f>
        <v>83064</v>
      </c>
      <c r="F492" s="193">
        <f>F384+F433+F471+F300+F335+F124+F71+F446+F162+F480+F488</f>
        <v>1847971</v>
      </c>
    </row>
    <row r="493" spans="1:6" ht="12" customHeight="1">
      <c r="A493" s="365"/>
      <c r="B493" s="345"/>
      <c r="C493" s="67" t="s">
        <v>435</v>
      </c>
      <c r="D493" s="130">
        <f aca="true" t="shared" si="15" ref="D493:F494">D385+D434+D472+D301+D336+D125+D72+D447+D163+D481+D489+D485</f>
        <v>1840369</v>
      </c>
      <c r="E493" s="130">
        <f t="shared" si="15"/>
        <v>1040910</v>
      </c>
      <c r="F493" s="131">
        <f t="shared" si="15"/>
        <v>2881279</v>
      </c>
    </row>
    <row r="494" spans="1:6" ht="12" customHeight="1" thickBot="1">
      <c r="A494" s="373"/>
      <c r="B494" s="109"/>
      <c r="C494" s="67" t="s">
        <v>436</v>
      </c>
      <c r="D494" s="159">
        <f t="shared" si="15"/>
        <v>1661618</v>
      </c>
      <c r="E494" s="159">
        <f t="shared" si="15"/>
        <v>140231</v>
      </c>
      <c r="F494" s="167">
        <f t="shared" si="15"/>
        <v>1801849</v>
      </c>
    </row>
    <row r="495" spans="1:6" ht="12" customHeight="1" thickBot="1">
      <c r="A495" s="1291" t="s">
        <v>486</v>
      </c>
      <c r="B495" s="1292"/>
      <c r="C495" s="1293"/>
      <c r="D495" s="134"/>
      <c r="E495" s="134"/>
      <c r="F495" s="134"/>
    </row>
    <row r="496" spans="1:6" ht="10.5" customHeight="1">
      <c r="A496" s="368"/>
      <c r="B496" s="103"/>
      <c r="C496" s="67" t="s">
        <v>434</v>
      </c>
      <c r="D496" s="874">
        <f aca="true" t="shared" si="16" ref="D496:F498">D492+D21</f>
        <v>1835694</v>
      </c>
      <c r="E496" s="139">
        <f t="shared" si="16"/>
        <v>83084</v>
      </c>
      <c r="F496" s="127">
        <f t="shared" si="16"/>
        <v>1918778</v>
      </c>
    </row>
    <row r="497" spans="1:6" ht="9.75" customHeight="1">
      <c r="A497" s="365"/>
      <c r="B497" s="345"/>
      <c r="C497" s="67" t="s">
        <v>435</v>
      </c>
      <c r="D497" s="130">
        <f t="shared" si="16"/>
        <v>1913667</v>
      </c>
      <c r="E497" s="130">
        <f t="shared" si="16"/>
        <v>1042485</v>
      </c>
      <c r="F497" s="131">
        <f t="shared" si="16"/>
        <v>2956152</v>
      </c>
    </row>
    <row r="498" spans="1:6" ht="11.25" customHeight="1" thickBot="1">
      <c r="A498" s="373"/>
      <c r="B498" s="109"/>
      <c r="C498" s="81" t="s">
        <v>436</v>
      </c>
      <c r="D498" s="875">
        <f t="shared" si="16"/>
        <v>1738822</v>
      </c>
      <c r="E498" s="159">
        <f>E494+E23</f>
        <v>141857</v>
      </c>
      <c r="F498" s="185">
        <f t="shared" si="16"/>
        <v>1880679</v>
      </c>
    </row>
    <row r="499" spans="1:6" ht="6" customHeight="1" thickBot="1">
      <c r="A499" s="453"/>
      <c r="B499" s="453"/>
      <c r="C499" s="454"/>
      <c r="D499" s="874"/>
      <c r="E499" s="874"/>
      <c r="F499" s="874"/>
    </row>
    <row r="500" spans="1:6" ht="12" customHeight="1" thickBot="1">
      <c r="A500" s="1285" t="s">
        <v>218</v>
      </c>
      <c r="B500" s="1286"/>
      <c r="C500" s="1286"/>
      <c r="D500" s="1286"/>
      <c r="E500" s="1286"/>
      <c r="F500" s="1287"/>
    </row>
    <row r="501" spans="1:6" ht="12" customHeight="1">
      <c r="A501" s="344" t="s">
        <v>140</v>
      </c>
      <c r="B501" s="345"/>
      <c r="C501" s="174" t="s">
        <v>152</v>
      </c>
      <c r="D501" s="130"/>
      <c r="E501" s="130"/>
      <c r="F501" s="131"/>
    </row>
    <row r="502" spans="1:6" ht="12" customHeight="1">
      <c r="A502" s="334"/>
      <c r="B502" s="335" t="s">
        <v>109</v>
      </c>
      <c r="C502" s="116" t="s">
        <v>221</v>
      </c>
      <c r="D502" s="117"/>
      <c r="E502" s="117"/>
      <c r="F502" s="131"/>
    </row>
    <row r="503" spans="1:6" ht="12" customHeight="1">
      <c r="A503" s="334"/>
      <c r="B503" s="335"/>
      <c r="C503" s="64" t="s">
        <v>434</v>
      </c>
      <c r="D503" s="117">
        <f>5!D624</f>
        <v>621607</v>
      </c>
      <c r="E503" s="117">
        <v>0</v>
      </c>
      <c r="F503" s="131">
        <f>SUM(D503:E503)</f>
        <v>621607</v>
      </c>
    </row>
    <row r="504" spans="1:6" ht="12" customHeight="1">
      <c r="A504" s="334"/>
      <c r="B504" s="335"/>
      <c r="C504" s="64" t="s">
        <v>435</v>
      </c>
      <c r="D504" s="117">
        <f>5!D625</f>
        <v>608360</v>
      </c>
      <c r="E504" s="117">
        <v>0</v>
      </c>
      <c r="F504" s="131">
        <f>SUM(D504:E504)</f>
        <v>608360</v>
      </c>
    </row>
    <row r="505" spans="1:6" ht="12" customHeight="1">
      <c r="A505" s="334"/>
      <c r="B505" s="335"/>
      <c r="C505" s="64" t="s">
        <v>436</v>
      </c>
      <c r="D505" s="117">
        <f>5!D626</f>
        <v>574080</v>
      </c>
      <c r="E505" s="117">
        <v>0</v>
      </c>
      <c r="F505" s="131">
        <f>SUM(D505:E505)</f>
        <v>574080</v>
      </c>
    </row>
    <row r="506" spans="1:6" ht="12" customHeight="1">
      <c r="A506" s="334"/>
      <c r="B506" s="335" t="s">
        <v>111</v>
      </c>
      <c r="C506" s="116" t="s">
        <v>130</v>
      </c>
      <c r="D506" s="117"/>
      <c r="E506" s="117"/>
      <c r="F506" s="131"/>
    </row>
    <row r="507" spans="1:6" ht="12" customHeight="1">
      <c r="A507" s="334"/>
      <c r="B507" s="335"/>
      <c r="C507" s="64" t="s">
        <v>434</v>
      </c>
      <c r="D507" s="117">
        <f>5!E624</f>
        <v>192523</v>
      </c>
      <c r="E507" s="117">
        <v>0</v>
      </c>
      <c r="F507" s="131">
        <f>SUM(D507:E507)</f>
        <v>192523</v>
      </c>
    </row>
    <row r="508" spans="1:6" ht="12" customHeight="1">
      <c r="A508" s="334"/>
      <c r="B508" s="335"/>
      <c r="C508" s="64" t="s">
        <v>435</v>
      </c>
      <c r="D508" s="117">
        <f>5!E625</f>
        <v>174020</v>
      </c>
      <c r="E508" s="117">
        <v>0</v>
      </c>
      <c r="F508" s="131">
        <f>SUM(D508:E508)</f>
        <v>174020</v>
      </c>
    </row>
    <row r="509" spans="1:6" ht="12" customHeight="1">
      <c r="A509" s="334"/>
      <c r="B509" s="335"/>
      <c r="C509" s="64" t="s">
        <v>436</v>
      </c>
      <c r="D509" s="117">
        <f>5!E626</f>
        <v>163312</v>
      </c>
      <c r="E509" s="117">
        <v>0</v>
      </c>
      <c r="F509" s="131">
        <f>SUM(D509:E509)</f>
        <v>163312</v>
      </c>
    </row>
    <row r="510" spans="1:6" s="14" customFormat="1" ht="12" customHeight="1">
      <c r="A510" s="334"/>
      <c r="B510" s="335" t="s">
        <v>113</v>
      </c>
      <c r="C510" s="116" t="s">
        <v>131</v>
      </c>
      <c r="D510" s="117"/>
      <c r="E510" s="117"/>
      <c r="F510" s="131"/>
    </row>
    <row r="511" spans="1:6" s="14" customFormat="1" ht="12" customHeight="1">
      <c r="A511" s="334"/>
      <c r="B511" s="335"/>
      <c r="C511" s="64" t="s">
        <v>434</v>
      </c>
      <c r="D511" s="117">
        <f>5!F624</f>
        <v>463362</v>
      </c>
      <c r="E511" s="117">
        <v>0</v>
      </c>
      <c r="F511" s="131">
        <f>SUM(D511:E511)</f>
        <v>463362</v>
      </c>
    </row>
    <row r="512" spans="1:6" s="14" customFormat="1" ht="12" customHeight="1">
      <c r="A512" s="334"/>
      <c r="B512" s="335"/>
      <c r="C512" s="64" t="s">
        <v>435</v>
      </c>
      <c r="D512" s="117">
        <f>5!F625</f>
        <v>554355</v>
      </c>
      <c r="E512" s="117">
        <v>0</v>
      </c>
      <c r="F512" s="131">
        <f>SUM(D512:E512)</f>
        <v>554355</v>
      </c>
    </row>
    <row r="513" spans="1:6" s="14" customFormat="1" ht="12" customHeight="1">
      <c r="A513" s="334"/>
      <c r="B513" s="335"/>
      <c r="C513" s="64" t="s">
        <v>436</v>
      </c>
      <c r="D513" s="117">
        <f>5!F626</f>
        <v>456755</v>
      </c>
      <c r="E513" s="117">
        <v>0</v>
      </c>
      <c r="F513" s="131">
        <f>SUM(D513:E513)</f>
        <v>456755</v>
      </c>
    </row>
    <row r="514" spans="1:6" ht="12" customHeight="1">
      <c r="A514" s="334"/>
      <c r="B514" s="335" t="s">
        <v>115</v>
      </c>
      <c r="C514" s="116" t="s">
        <v>153</v>
      </c>
      <c r="D514" s="117"/>
      <c r="E514" s="117"/>
      <c r="F514" s="131"/>
    </row>
    <row r="515" spans="1:6" ht="12" customHeight="1">
      <c r="A515" s="334"/>
      <c r="B515" s="335"/>
      <c r="C515" s="64" t="s">
        <v>434</v>
      </c>
      <c r="D515" s="117">
        <f>5!G624</f>
        <v>0</v>
      </c>
      <c r="E515" s="117">
        <v>0</v>
      </c>
      <c r="F515" s="131">
        <f>SUM(D515:E515)</f>
        <v>0</v>
      </c>
    </row>
    <row r="516" spans="1:6" ht="12" customHeight="1">
      <c r="A516" s="334"/>
      <c r="B516" s="335"/>
      <c r="C516" s="64" t="s">
        <v>435</v>
      </c>
      <c r="D516" s="117">
        <f>5!G625</f>
        <v>0</v>
      </c>
      <c r="E516" s="117">
        <v>0</v>
      </c>
      <c r="F516" s="131">
        <f>SUM(D516:E516)</f>
        <v>0</v>
      </c>
    </row>
    <row r="517" spans="1:6" ht="12" customHeight="1">
      <c r="A517" s="334"/>
      <c r="B517" s="335"/>
      <c r="C517" s="64" t="s">
        <v>436</v>
      </c>
      <c r="D517" s="117">
        <f>5!G626</f>
        <v>0</v>
      </c>
      <c r="E517" s="117">
        <v>0</v>
      </c>
      <c r="F517" s="131">
        <f>SUM(D517:E517)</f>
        <v>0</v>
      </c>
    </row>
    <row r="518" spans="1:6" s="14" customFormat="1" ht="12" customHeight="1">
      <c r="A518" s="334"/>
      <c r="B518" s="335" t="s">
        <v>117</v>
      </c>
      <c r="C518" s="116" t="s">
        <v>222</v>
      </c>
      <c r="D518" s="117"/>
      <c r="E518" s="117"/>
      <c r="F518" s="131"/>
    </row>
    <row r="519" spans="1:6" s="14" customFormat="1" ht="12" customHeight="1">
      <c r="A519" s="334"/>
      <c r="B519" s="335"/>
      <c r="C519" s="64" t="s">
        <v>434</v>
      </c>
      <c r="D519" s="117">
        <f>5!H624</f>
        <v>178893</v>
      </c>
      <c r="E519" s="117">
        <v>0</v>
      </c>
      <c r="F519" s="131">
        <f>SUM(D519:E519)</f>
        <v>178893</v>
      </c>
    </row>
    <row r="520" spans="1:6" s="14" customFormat="1" ht="12" customHeight="1">
      <c r="A520" s="334"/>
      <c r="B520" s="335"/>
      <c r="C520" s="64" t="s">
        <v>435</v>
      </c>
      <c r="D520" s="117">
        <f>5!H625</f>
        <v>178343</v>
      </c>
      <c r="E520" s="117">
        <v>0</v>
      </c>
      <c r="F520" s="131">
        <f>SUM(D520:E520)</f>
        <v>178343</v>
      </c>
    </row>
    <row r="521" spans="1:6" s="14" customFormat="1" ht="12" customHeight="1">
      <c r="A521" s="334"/>
      <c r="B521" s="335"/>
      <c r="C521" s="64" t="s">
        <v>436</v>
      </c>
      <c r="D521" s="117">
        <f>5!H626</f>
        <v>149440</v>
      </c>
      <c r="E521" s="117">
        <v>0</v>
      </c>
      <c r="F521" s="131">
        <f>SUM(D521:E521)</f>
        <v>149440</v>
      </c>
    </row>
    <row r="522" spans="1:6" ht="12" customHeight="1">
      <c r="A522" s="334"/>
      <c r="B522" s="335" t="s">
        <v>119</v>
      </c>
      <c r="C522" s="225" t="s">
        <v>334</v>
      </c>
      <c r="D522" s="117"/>
      <c r="E522" s="117"/>
      <c r="F522" s="131"/>
    </row>
    <row r="523" spans="1:6" ht="12" customHeight="1">
      <c r="A523" s="334"/>
      <c r="B523" s="335"/>
      <c r="C523" s="64" t="s">
        <v>434</v>
      </c>
      <c r="D523" s="117">
        <f>5!I624</f>
        <v>356709</v>
      </c>
      <c r="E523" s="117">
        <v>0</v>
      </c>
      <c r="F523" s="131">
        <f>SUM(D523:E523)</f>
        <v>356709</v>
      </c>
    </row>
    <row r="524" spans="1:6" ht="12" customHeight="1">
      <c r="A524" s="334"/>
      <c r="B524" s="335"/>
      <c r="C524" s="64" t="s">
        <v>435</v>
      </c>
      <c r="D524" s="117">
        <f>5!I625</f>
        <v>384905</v>
      </c>
      <c r="E524" s="117">
        <v>0</v>
      </c>
      <c r="F524" s="131">
        <f>SUM(D524:E524)</f>
        <v>384905</v>
      </c>
    </row>
    <row r="525" spans="1:6" ht="12" customHeight="1" thickBot="1">
      <c r="A525" s="334"/>
      <c r="B525" s="335"/>
      <c r="C525" s="64" t="s">
        <v>436</v>
      </c>
      <c r="D525" s="117">
        <f>5!I626</f>
        <v>372348</v>
      </c>
      <c r="E525" s="117">
        <v>0</v>
      </c>
      <c r="F525" s="131">
        <f>SUM(D525:E525)</f>
        <v>372348</v>
      </c>
    </row>
    <row r="526" spans="1:6" s="14" customFormat="1" ht="12" customHeight="1" thickBot="1" thickTop="1">
      <c r="A526" s="339"/>
      <c r="B526" s="340"/>
      <c r="C526" s="374" t="s">
        <v>472</v>
      </c>
      <c r="D526" s="188"/>
      <c r="E526" s="188"/>
      <c r="F526" s="189"/>
    </row>
    <row r="527" spans="1:6" s="14" customFormat="1" ht="12" customHeight="1" thickTop="1">
      <c r="A527" s="342"/>
      <c r="B527" s="343"/>
      <c r="C527" s="249" t="s">
        <v>434</v>
      </c>
      <c r="D527" s="866">
        <f>D503+D507+D511+D515+D519+D523</f>
        <v>1813094</v>
      </c>
      <c r="E527" s="866">
        <f>E503+E507+E511+E515+E519+E523</f>
        <v>0</v>
      </c>
      <c r="F527" s="867">
        <f>F503+F507+F511+F515+F519+F523</f>
        <v>1813094</v>
      </c>
    </row>
    <row r="528" spans="1:6" s="14" customFormat="1" ht="12" customHeight="1">
      <c r="A528" s="344"/>
      <c r="B528" s="345"/>
      <c r="C528" s="67" t="s">
        <v>435</v>
      </c>
      <c r="D528" s="130">
        <f aca="true" t="shared" si="17" ref="D528:F529">D504+D508+D512+D516+D520+D524</f>
        <v>1899983</v>
      </c>
      <c r="E528" s="130">
        <f t="shared" si="17"/>
        <v>0</v>
      </c>
      <c r="F528" s="131">
        <f t="shared" si="17"/>
        <v>1899983</v>
      </c>
    </row>
    <row r="529" spans="1:6" s="14" customFormat="1" ht="12" customHeight="1">
      <c r="A529" s="344"/>
      <c r="B529" s="345"/>
      <c r="C529" s="67" t="s">
        <v>436</v>
      </c>
      <c r="D529" s="130">
        <f t="shared" si="17"/>
        <v>1715935</v>
      </c>
      <c r="E529" s="130">
        <f t="shared" si="17"/>
        <v>0</v>
      </c>
      <c r="F529" s="131">
        <f t="shared" si="17"/>
        <v>1715935</v>
      </c>
    </row>
    <row r="530" spans="1:6" ht="12" customHeight="1">
      <c r="A530" s="344" t="s">
        <v>142</v>
      </c>
      <c r="B530" s="345"/>
      <c r="C530" s="174" t="s">
        <v>155</v>
      </c>
      <c r="D530" s="130"/>
      <c r="E530" s="130"/>
      <c r="F530" s="131"/>
    </row>
    <row r="531" spans="1:6" s="14" customFormat="1" ht="12" customHeight="1">
      <c r="A531" s="334"/>
      <c r="B531" s="335" t="s">
        <v>109</v>
      </c>
      <c r="C531" s="116" t="s">
        <v>223</v>
      </c>
      <c r="D531" s="117"/>
      <c r="E531" s="117"/>
      <c r="F531" s="131"/>
    </row>
    <row r="532" spans="1:6" s="14" customFormat="1" ht="12" customHeight="1">
      <c r="A532" s="334"/>
      <c r="B532" s="335"/>
      <c r="C532" s="64" t="s">
        <v>434</v>
      </c>
      <c r="D532" s="117">
        <v>0</v>
      </c>
      <c r="E532" s="117">
        <f>6!D8</f>
        <v>41792</v>
      </c>
      <c r="F532" s="131">
        <f>SUM(D532:E532)</f>
        <v>41792</v>
      </c>
    </row>
    <row r="533" spans="1:6" s="14" customFormat="1" ht="12" customHeight="1">
      <c r="A533" s="334"/>
      <c r="B533" s="335"/>
      <c r="C533" s="64" t="s">
        <v>435</v>
      </c>
      <c r="D533" s="117">
        <v>0</v>
      </c>
      <c r="E533" s="117">
        <f>6!E8</f>
        <v>627448</v>
      </c>
      <c r="F533" s="131">
        <f>SUM(D533:E533)</f>
        <v>627448</v>
      </c>
    </row>
    <row r="534" spans="1:6" s="14" customFormat="1" ht="12" customHeight="1">
      <c r="A534" s="334"/>
      <c r="B534" s="335"/>
      <c r="C534" s="64" t="s">
        <v>436</v>
      </c>
      <c r="D534" s="117">
        <v>0</v>
      </c>
      <c r="E534" s="117">
        <f>6!F8</f>
        <v>52873</v>
      </c>
      <c r="F534" s="131">
        <f>SUM(D534:E534)</f>
        <v>52873</v>
      </c>
    </row>
    <row r="535" spans="1:6" ht="12" customHeight="1">
      <c r="A535" s="334"/>
      <c r="B535" s="335" t="s">
        <v>111</v>
      </c>
      <c r="C535" s="116" t="s">
        <v>224</v>
      </c>
      <c r="D535" s="117"/>
      <c r="E535" s="117"/>
      <c r="F535" s="131"/>
    </row>
    <row r="536" spans="1:6" ht="12" customHeight="1">
      <c r="A536" s="334"/>
      <c r="B536" s="335"/>
      <c r="C536" s="64" t="s">
        <v>434</v>
      </c>
      <c r="D536" s="117">
        <v>0</v>
      </c>
      <c r="E536" s="117">
        <f>6!D47</f>
        <v>1500</v>
      </c>
      <c r="F536" s="131">
        <f>SUM(D536:E536)</f>
        <v>1500</v>
      </c>
    </row>
    <row r="537" spans="1:6" ht="12" customHeight="1">
      <c r="A537" s="334"/>
      <c r="B537" s="335"/>
      <c r="C537" s="64" t="s">
        <v>435</v>
      </c>
      <c r="D537" s="117">
        <v>0</v>
      </c>
      <c r="E537" s="117">
        <f>6!E47</f>
        <v>2747</v>
      </c>
      <c r="F537" s="131">
        <f>SUM(D537:E537)</f>
        <v>2747</v>
      </c>
    </row>
    <row r="538" spans="1:6" ht="12" customHeight="1">
      <c r="A538" s="334"/>
      <c r="B538" s="335"/>
      <c r="C538" s="64" t="s">
        <v>436</v>
      </c>
      <c r="D538" s="117">
        <v>0</v>
      </c>
      <c r="E538" s="117">
        <f>6!F47</f>
        <v>2523</v>
      </c>
      <c r="F538" s="131">
        <f>SUM(D538:E538)</f>
        <v>2523</v>
      </c>
    </row>
    <row r="539" spans="1:6" s="14" customFormat="1" ht="12" customHeight="1">
      <c r="A539" s="334"/>
      <c r="B539" s="335" t="s">
        <v>113</v>
      </c>
      <c r="C539" s="116" t="s">
        <v>225</v>
      </c>
      <c r="D539" s="117"/>
      <c r="E539" s="117"/>
      <c r="F539" s="131"/>
    </row>
    <row r="540" spans="1:6" s="14" customFormat="1" ht="12" customHeight="1">
      <c r="A540" s="334"/>
      <c r="B540" s="335"/>
      <c r="C540" s="64" t="s">
        <v>434</v>
      </c>
      <c r="D540" s="117">
        <v>0</v>
      </c>
      <c r="E540" s="117">
        <f>6!D63</f>
        <v>12813</v>
      </c>
      <c r="F540" s="131">
        <f>SUM(D540:E540)</f>
        <v>12813</v>
      </c>
    </row>
    <row r="541" spans="1:6" s="14" customFormat="1" ht="12" customHeight="1">
      <c r="A541" s="334"/>
      <c r="B541" s="335"/>
      <c r="C541" s="64" t="s">
        <v>435</v>
      </c>
      <c r="D541" s="117">
        <v>0</v>
      </c>
      <c r="E541" s="117">
        <f>6!E63</f>
        <v>69384</v>
      </c>
      <c r="F541" s="131">
        <f>SUM(D541:E541)</f>
        <v>69384</v>
      </c>
    </row>
    <row r="542" spans="1:6" s="14" customFormat="1" ht="12" customHeight="1" thickBot="1">
      <c r="A542" s="334"/>
      <c r="B542" s="335"/>
      <c r="C542" s="64" t="s">
        <v>436</v>
      </c>
      <c r="D542" s="117">
        <v>0</v>
      </c>
      <c r="E542" s="117">
        <f>6!F63</f>
        <v>35568</v>
      </c>
      <c r="F542" s="131">
        <f>SUM(D542:E542)</f>
        <v>35568</v>
      </c>
    </row>
    <row r="543" spans="1:6" ht="12" customHeight="1" thickBot="1" thickTop="1">
      <c r="A543" s="339"/>
      <c r="B543" s="340"/>
      <c r="C543" s="341" t="s">
        <v>473</v>
      </c>
      <c r="D543" s="188"/>
      <c r="E543" s="188"/>
      <c r="F543" s="189"/>
    </row>
    <row r="544" spans="1:6" ht="12" customHeight="1" thickTop="1">
      <c r="A544" s="342"/>
      <c r="B544" s="343"/>
      <c r="C544" s="249" t="s">
        <v>434</v>
      </c>
      <c r="D544" s="865">
        <f aca="true" t="shared" si="18" ref="D544:F546">D532+D536+D540</f>
        <v>0</v>
      </c>
      <c r="E544" s="866">
        <f t="shared" si="18"/>
        <v>56105</v>
      </c>
      <c r="F544" s="867">
        <f t="shared" si="18"/>
        <v>56105</v>
      </c>
    </row>
    <row r="545" spans="1:6" ht="12" customHeight="1">
      <c r="A545" s="344"/>
      <c r="B545" s="345"/>
      <c r="C545" s="67" t="s">
        <v>435</v>
      </c>
      <c r="D545" s="130">
        <f t="shared" si="18"/>
        <v>0</v>
      </c>
      <c r="E545" s="130">
        <f t="shared" si="18"/>
        <v>699579</v>
      </c>
      <c r="F545" s="131">
        <f t="shared" si="18"/>
        <v>699579</v>
      </c>
    </row>
    <row r="546" spans="1:6" ht="12" customHeight="1">
      <c r="A546" s="344"/>
      <c r="B546" s="345"/>
      <c r="C546" s="67" t="s">
        <v>436</v>
      </c>
      <c r="D546" s="130">
        <f t="shared" si="18"/>
        <v>0</v>
      </c>
      <c r="E546" s="130">
        <f t="shared" si="18"/>
        <v>90964</v>
      </c>
      <c r="F546" s="131">
        <f t="shared" si="18"/>
        <v>90964</v>
      </c>
    </row>
    <row r="547" spans="1:6" ht="12" customHeight="1">
      <c r="A547" s="344" t="s">
        <v>159</v>
      </c>
      <c r="B547" s="345"/>
      <c r="C547" s="174" t="s">
        <v>226</v>
      </c>
      <c r="D547" s="130"/>
      <c r="E547" s="130"/>
      <c r="F547" s="131"/>
    </row>
    <row r="548" spans="1:6" ht="12" customHeight="1">
      <c r="A548" s="344"/>
      <c r="B548" s="375" t="s">
        <v>109</v>
      </c>
      <c r="C548" s="116" t="s">
        <v>429</v>
      </c>
      <c r="D548" s="269"/>
      <c r="E548" s="269"/>
      <c r="F548" s="131"/>
    </row>
    <row r="549" spans="1:6" ht="12" customHeight="1">
      <c r="A549" s="344"/>
      <c r="B549" s="375"/>
      <c r="C549" s="64" t="s">
        <v>434</v>
      </c>
      <c r="D549" s="876">
        <v>0</v>
      </c>
      <c r="E549" s="269">
        <f>6!D78</f>
        <v>26979</v>
      </c>
      <c r="F549" s="131">
        <f>SUM(D549:E549)</f>
        <v>26979</v>
      </c>
    </row>
    <row r="550" spans="1:6" ht="12" customHeight="1">
      <c r="A550" s="344"/>
      <c r="B550" s="375"/>
      <c r="C550" s="64" t="s">
        <v>435</v>
      </c>
      <c r="D550" s="269">
        <v>0</v>
      </c>
      <c r="E550" s="269">
        <f>6!E78</f>
        <v>42906</v>
      </c>
      <c r="F550" s="131">
        <f>SUM(D550:E550)</f>
        <v>42906</v>
      </c>
    </row>
    <row r="551" spans="1:6" ht="12" customHeight="1" thickBot="1">
      <c r="A551" s="344"/>
      <c r="B551" s="375"/>
      <c r="C551" s="78" t="s">
        <v>436</v>
      </c>
      <c r="D551" s="269">
        <v>0</v>
      </c>
      <c r="E551" s="269">
        <f>6!F78</f>
        <v>31665</v>
      </c>
      <c r="F551" s="131">
        <f>SUM(D551:E551)</f>
        <v>31665</v>
      </c>
    </row>
    <row r="552" spans="1:6" ht="12" customHeight="1" thickBot="1" thickTop="1">
      <c r="A552" s="339"/>
      <c r="B552" s="340"/>
      <c r="C552" s="341" t="s">
        <v>474</v>
      </c>
      <c r="D552" s="188"/>
      <c r="E552" s="188"/>
      <c r="F552" s="189"/>
    </row>
    <row r="553" spans="1:6" ht="12" customHeight="1" thickTop="1">
      <c r="A553" s="342"/>
      <c r="B553" s="343"/>
      <c r="C553" s="249" t="s">
        <v>434</v>
      </c>
      <c r="D553" s="865">
        <f aca="true" t="shared" si="19" ref="D553:F555">D549</f>
        <v>0</v>
      </c>
      <c r="E553" s="865">
        <f t="shared" si="19"/>
        <v>26979</v>
      </c>
      <c r="F553" s="193">
        <f t="shared" si="19"/>
        <v>26979</v>
      </c>
    </row>
    <row r="554" spans="1:6" ht="12" customHeight="1">
      <c r="A554" s="344"/>
      <c r="B554" s="345"/>
      <c r="C554" s="67" t="s">
        <v>435</v>
      </c>
      <c r="D554" s="130">
        <f t="shared" si="19"/>
        <v>0</v>
      </c>
      <c r="E554" s="130">
        <f t="shared" si="19"/>
        <v>42906</v>
      </c>
      <c r="F554" s="131">
        <f t="shared" si="19"/>
        <v>42906</v>
      </c>
    </row>
    <row r="555" spans="1:6" ht="12" customHeight="1">
      <c r="A555" s="344"/>
      <c r="B555" s="345"/>
      <c r="C555" s="67" t="s">
        <v>436</v>
      </c>
      <c r="D555" s="130">
        <f t="shared" si="19"/>
        <v>0</v>
      </c>
      <c r="E555" s="130">
        <f t="shared" si="19"/>
        <v>31665</v>
      </c>
      <c r="F555" s="131">
        <f t="shared" si="19"/>
        <v>31665</v>
      </c>
    </row>
    <row r="556" spans="1:6" ht="12" customHeight="1">
      <c r="A556" s="344" t="s">
        <v>185</v>
      </c>
      <c r="B556" s="345"/>
      <c r="C556" s="174" t="s">
        <v>133</v>
      </c>
      <c r="D556" s="130"/>
      <c r="E556" s="130"/>
      <c r="F556" s="131"/>
    </row>
    <row r="557" spans="1:6" ht="12" customHeight="1">
      <c r="A557" s="334"/>
      <c r="B557" s="335" t="s">
        <v>109</v>
      </c>
      <c r="C557" s="116" t="s">
        <v>160</v>
      </c>
      <c r="D557" s="117"/>
      <c r="E557" s="117"/>
      <c r="F557" s="131"/>
    </row>
    <row r="558" spans="1:6" ht="12" customHeight="1">
      <c r="A558" s="334"/>
      <c r="B558" s="335"/>
      <c r="C558" s="64" t="s">
        <v>434</v>
      </c>
      <c r="D558" s="117">
        <v>10000</v>
      </c>
      <c r="E558" s="117"/>
      <c r="F558" s="131">
        <f>SUM(D558:E558)</f>
        <v>10000</v>
      </c>
    </row>
    <row r="559" spans="1:6" ht="12" customHeight="1">
      <c r="A559" s="334"/>
      <c r="B559" s="335"/>
      <c r="C559" s="64" t="s">
        <v>435</v>
      </c>
      <c r="D559" s="117">
        <v>2510</v>
      </c>
      <c r="E559" s="117"/>
      <c r="F559" s="131">
        <f>SUM(D559:E559)</f>
        <v>2510</v>
      </c>
    </row>
    <row r="560" spans="1:6" ht="12" customHeight="1">
      <c r="A560" s="334"/>
      <c r="B560" s="335"/>
      <c r="C560" s="78" t="s">
        <v>436</v>
      </c>
      <c r="D560" s="117">
        <v>0</v>
      </c>
      <c r="E560" s="117"/>
      <c r="F560" s="131">
        <f>SUM(D560:E560)</f>
        <v>0</v>
      </c>
    </row>
    <row r="561" spans="1:6" ht="12" customHeight="1">
      <c r="A561" s="334"/>
      <c r="B561" s="335" t="s">
        <v>111</v>
      </c>
      <c r="C561" s="116" t="s">
        <v>231</v>
      </c>
      <c r="D561" s="117"/>
      <c r="E561" s="117"/>
      <c r="F561" s="131"/>
    </row>
    <row r="562" spans="1:6" ht="12" customHeight="1">
      <c r="A562" s="334"/>
      <c r="B562" s="335"/>
      <c r="C562" s="64" t="s">
        <v>434</v>
      </c>
      <c r="D562" s="117">
        <f>7!C16</f>
        <v>12600</v>
      </c>
      <c r="E562" s="117"/>
      <c r="F562" s="131">
        <f>SUM(D562:E562)</f>
        <v>12600</v>
      </c>
    </row>
    <row r="563" spans="1:6" ht="12" customHeight="1">
      <c r="A563" s="334"/>
      <c r="B563" s="335"/>
      <c r="C563" s="64" t="s">
        <v>435</v>
      </c>
      <c r="D563" s="117">
        <f>7!D16</f>
        <v>11174</v>
      </c>
      <c r="E563" s="117"/>
      <c r="F563" s="131">
        <f>SUM(D563:E563)</f>
        <v>11174</v>
      </c>
    </row>
    <row r="564" spans="1:6" ht="12" customHeight="1">
      <c r="A564" s="358"/>
      <c r="B564" s="338"/>
      <c r="C564" s="432" t="s">
        <v>436</v>
      </c>
      <c r="D564" s="120">
        <f>5!M178</f>
        <v>0</v>
      </c>
      <c r="E564" s="120"/>
      <c r="F564" s="157">
        <f>SUM(D564:E564)</f>
        <v>0</v>
      </c>
    </row>
    <row r="565" spans="1:6" ht="12" customHeight="1">
      <c r="A565" s="354"/>
      <c r="B565" s="335" t="s">
        <v>113</v>
      </c>
      <c r="C565" s="433" t="s">
        <v>319</v>
      </c>
      <c r="D565" s="117"/>
      <c r="E565" s="117"/>
      <c r="F565" s="131"/>
    </row>
    <row r="566" spans="1:6" ht="12" customHeight="1">
      <c r="A566" s="354"/>
      <c r="B566" s="335"/>
      <c r="C566" s="64" t="s">
        <v>434</v>
      </c>
      <c r="D566" s="117" t="s">
        <v>314</v>
      </c>
      <c r="E566" s="117"/>
      <c r="F566" s="131" t="str">
        <f>D566</f>
        <v> </v>
      </c>
    </row>
    <row r="567" spans="1:6" ht="12" customHeight="1">
      <c r="A567" s="354"/>
      <c r="B567" s="335"/>
      <c r="C567" s="64" t="s">
        <v>435</v>
      </c>
      <c r="D567" s="117">
        <v>0</v>
      </c>
      <c r="E567" s="117">
        <v>300000</v>
      </c>
      <c r="F567" s="131">
        <f>E567</f>
        <v>300000</v>
      </c>
    </row>
    <row r="568" spans="1:6" ht="12" customHeight="1" thickBot="1">
      <c r="A568" s="359"/>
      <c r="B568" s="360"/>
      <c r="C568" s="78" t="s">
        <v>436</v>
      </c>
      <c r="D568" s="877">
        <v>0</v>
      </c>
      <c r="E568" s="877">
        <f>5!M158</f>
        <v>0</v>
      </c>
      <c r="F568" s="135">
        <f>E568</f>
        <v>0</v>
      </c>
    </row>
    <row r="569" spans="1:6" ht="12" customHeight="1" thickBot="1" thickTop="1">
      <c r="A569" s="339"/>
      <c r="B569" s="340"/>
      <c r="C569" s="341" t="s">
        <v>475</v>
      </c>
      <c r="D569" s="188"/>
      <c r="E569" s="188"/>
      <c r="F569" s="189"/>
    </row>
    <row r="570" spans="1:6" ht="10.5" customHeight="1" thickTop="1">
      <c r="A570" s="352"/>
      <c r="B570" s="343"/>
      <c r="C570" s="249" t="s">
        <v>434</v>
      </c>
      <c r="D570" s="866">
        <f>D558+D562</f>
        <v>22600</v>
      </c>
      <c r="E570" s="866">
        <f>E558+E562</f>
        <v>0</v>
      </c>
      <c r="F570" s="867">
        <f>F558+F562</f>
        <v>22600</v>
      </c>
    </row>
    <row r="571" spans="1:6" ht="10.5" customHeight="1">
      <c r="A571" s="344"/>
      <c r="B571" s="345"/>
      <c r="C571" s="67" t="s">
        <v>435</v>
      </c>
      <c r="D571" s="130">
        <f>D559+D563+D567</f>
        <v>13684</v>
      </c>
      <c r="E571" s="130">
        <f>E559+E563+E567</f>
        <v>300000</v>
      </c>
      <c r="F571" s="131">
        <f>F559+F563+F567</f>
        <v>313684</v>
      </c>
    </row>
    <row r="572" spans="1:6" ht="11.25" customHeight="1" thickBot="1">
      <c r="A572" s="361"/>
      <c r="B572" s="376"/>
      <c r="C572" s="377" t="s">
        <v>436</v>
      </c>
      <c r="D572" s="878">
        <f>D564+D560+D568</f>
        <v>0</v>
      </c>
      <c r="E572" s="878">
        <f>E560+E564+E568</f>
        <v>0</v>
      </c>
      <c r="F572" s="879">
        <f>F560+F564+F568</f>
        <v>0</v>
      </c>
    </row>
    <row r="573" spans="1:6" ht="12" customHeight="1" thickBot="1" thickTop="1">
      <c r="A573" s="1288" t="s">
        <v>232</v>
      </c>
      <c r="B573" s="1289"/>
      <c r="C573" s="1290"/>
      <c r="D573" s="196"/>
      <c r="E573" s="196"/>
      <c r="F573" s="195"/>
    </row>
    <row r="574" spans="1:6" s="14" customFormat="1" ht="11.25" customHeight="1" thickTop="1">
      <c r="A574" s="342"/>
      <c r="B574" s="343"/>
      <c r="C574" s="249" t="s">
        <v>434</v>
      </c>
      <c r="D574" s="865">
        <f aca="true" t="shared" si="20" ref="D574:F576">D527+D544+D553+D570</f>
        <v>1835694</v>
      </c>
      <c r="E574" s="865">
        <f t="shared" si="20"/>
        <v>83084</v>
      </c>
      <c r="F574" s="193">
        <f t="shared" si="20"/>
        <v>1918778</v>
      </c>
    </row>
    <row r="575" spans="1:6" s="14" customFormat="1" ht="10.5" customHeight="1">
      <c r="A575" s="344"/>
      <c r="B575" s="345"/>
      <c r="C575" s="67" t="s">
        <v>435</v>
      </c>
      <c r="D575" s="130">
        <f t="shared" si="20"/>
        <v>1913667</v>
      </c>
      <c r="E575" s="130">
        <f t="shared" si="20"/>
        <v>1042485</v>
      </c>
      <c r="F575" s="131">
        <f t="shared" si="20"/>
        <v>2956152</v>
      </c>
    </row>
    <row r="576" spans="1:6" s="14" customFormat="1" ht="9.75" customHeight="1" thickBot="1">
      <c r="A576" s="378"/>
      <c r="B576" s="379"/>
      <c r="C576" s="81" t="s">
        <v>436</v>
      </c>
      <c r="D576" s="159">
        <f t="shared" si="20"/>
        <v>1715935</v>
      </c>
      <c r="E576" s="159">
        <f t="shared" si="20"/>
        <v>122629</v>
      </c>
      <c r="F576" s="167">
        <f t="shared" si="20"/>
        <v>1838564</v>
      </c>
    </row>
    <row r="579" spans="4:6" ht="12" customHeight="1">
      <c r="D579" s="876">
        <f>D498-D576</f>
        <v>22887</v>
      </c>
      <c r="E579" s="876">
        <f>E498-E576</f>
        <v>19228</v>
      </c>
      <c r="F579" s="876">
        <f>F498-F576</f>
        <v>42115</v>
      </c>
    </row>
  </sheetData>
  <sheetProtection/>
  <mergeCells count="7">
    <mergeCell ref="F4:F5"/>
    <mergeCell ref="A6:F6"/>
    <mergeCell ref="A500:F500"/>
    <mergeCell ref="A573:C573"/>
    <mergeCell ref="A491:C491"/>
    <mergeCell ref="A495:C495"/>
    <mergeCell ref="A4:C5"/>
  </mergeCells>
  <printOptions horizontalCentered="1"/>
  <pageMargins left="0.7874015748031497" right="0.7874015748031497" top="0.984251968503937" bottom="0.984251968503937" header="0.5118110236220472" footer="0.11811023622047245"/>
  <pageSetup horizontalDpi="600" verticalDpi="600" orientation="portrait" paperSize="9" scale="89" r:id="rId2"/>
  <rowBreaks count="8" manualBreakCount="8">
    <brk id="73" max="5" man="1"/>
    <brk id="144" max="5" man="1"/>
    <brk id="214" max="5" man="1"/>
    <brk id="286" max="5" man="1"/>
    <brk id="354" max="5" man="1"/>
    <brk id="423" max="5" man="1"/>
    <brk id="490" max="5" man="1"/>
    <brk id="555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631"/>
  <sheetViews>
    <sheetView view="pageBreakPreview" zoomScaleSheetLayoutView="100" zoomScalePageLayoutView="0" workbookViewId="0" topLeftCell="A1">
      <pane ySplit="6" topLeftCell="A604" activePane="bottomLeft" state="frozen"/>
      <selection pane="topLeft" activeCell="L18" sqref="L18"/>
      <selection pane="bottomLeft" activeCell="A594" sqref="A594:IV594"/>
    </sheetView>
  </sheetViews>
  <sheetFormatPr defaultColWidth="9.00390625" defaultRowHeight="12.75" customHeight="1"/>
  <cols>
    <col min="1" max="1" width="2.875" style="1097" customWidth="1"/>
    <col min="2" max="2" width="3.00390625" style="59" customWidth="1"/>
    <col min="3" max="3" width="33.75390625" style="59" customWidth="1"/>
    <col min="4" max="4" width="8.75390625" style="59" customWidth="1"/>
    <col min="5" max="5" width="8.875" style="59" customWidth="1"/>
    <col min="6" max="6" width="7.75390625" style="59" customWidth="1"/>
    <col min="7" max="7" width="8.125" style="59" customWidth="1"/>
    <col min="8" max="8" width="9.875" style="59" customWidth="1"/>
    <col min="9" max="9" width="8.875" style="59" customWidth="1"/>
    <col min="10" max="10" width="10.625" style="99" customWidth="1"/>
    <col min="11" max="11" width="8.625" style="59" bestFit="1" customWidth="1"/>
    <col min="12" max="12" width="10.875" style="59" customWidth="1"/>
    <col min="13" max="13" width="8.375" style="59" customWidth="1"/>
    <col min="14" max="14" width="9.75390625" style="99" customWidth="1"/>
    <col min="15" max="15" width="6.875" style="100" customWidth="1"/>
    <col min="16" max="16384" width="9.125" style="16" customWidth="1"/>
  </cols>
  <sheetData>
    <row r="1" ht="18.75" customHeight="1"/>
    <row r="2" ht="12.75" customHeight="1">
      <c r="O2" s="101"/>
    </row>
    <row r="3" spans="14:15" ht="12.75" customHeight="1" thickBot="1">
      <c r="N3" s="1305" t="s">
        <v>163</v>
      </c>
      <c r="O3" s="1306"/>
    </row>
    <row r="4" spans="1:15" s="18" customFormat="1" ht="14.25" customHeight="1">
      <c r="A4" s="1319" t="s">
        <v>235</v>
      </c>
      <c r="B4" s="1320"/>
      <c r="C4" s="60" t="s">
        <v>250</v>
      </c>
      <c r="D4" s="103" t="s">
        <v>251</v>
      </c>
      <c r="E4" s="103" t="s">
        <v>252</v>
      </c>
      <c r="F4" s="103" t="s">
        <v>253</v>
      </c>
      <c r="G4" s="103" t="s">
        <v>254</v>
      </c>
      <c r="H4" s="1313" t="s">
        <v>339</v>
      </c>
      <c r="I4" s="1310" t="s">
        <v>335</v>
      </c>
      <c r="J4" s="104" t="s">
        <v>135</v>
      </c>
      <c r="K4" s="105" t="s">
        <v>255</v>
      </c>
      <c r="L4" s="103" t="s">
        <v>256</v>
      </c>
      <c r="M4" s="103"/>
      <c r="N4" s="103" t="s">
        <v>151</v>
      </c>
      <c r="O4" s="104" t="s">
        <v>257</v>
      </c>
    </row>
    <row r="5" spans="1:15" s="18" customFormat="1" ht="15" customHeight="1">
      <c r="A5" s="1321" t="s">
        <v>258</v>
      </c>
      <c r="B5" s="1322"/>
      <c r="C5" s="61" t="s">
        <v>259</v>
      </c>
      <c r="D5" s="106" t="s">
        <v>260</v>
      </c>
      <c r="E5" s="106" t="s">
        <v>261</v>
      </c>
      <c r="F5" s="106" t="s">
        <v>262</v>
      </c>
      <c r="G5" s="106" t="s">
        <v>263</v>
      </c>
      <c r="H5" s="1314"/>
      <c r="I5" s="1311"/>
      <c r="J5" s="107" t="s">
        <v>264</v>
      </c>
      <c r="K5" s="108" t="s">
        <v>265</v>
      </c>
      <c r="L5" s="106" t="s">
        <v>264</v>
      </c>
      <c r="M5" s="106" t="s">
        <v>133</v>
      </c>
      <c r="N5" s="106" t="s">
        <v>108</v>
      </c>
      <c r="O5" s="107" t="s">
        <v>266</v>
      </c>
    </row>
    <row r="6" spans="1:15" s="18" customFormat="1" ht="17.25" customHeight="1" thickBot="1">
      <c r="A6" s="1323" t="s">
        <v>267</v>
      </c>
      <c r="B6" s="1324"/>
      <c r="C6" s="62"/>
      <c r="D6" s="109" t="s">
        <v>262</v>
      </c>
      <c r="E6" s="109" t="s">
        <v>268</v>
      </c>
      <c r="F6" s="109"/>
      <c r="G6" s="109" t="s">
        <v>269</v>
      </c>
      <c r="H6" s="1315"/>
      <c r="I6" s="1312"/>
      <c r="J6" s="110" t="s">
        <v>108</v>
      </c>
      <c r="K6" s="111" t="s">
        <v>270</v>
      </c>
      <c r="L6" s="109" t="s">
        <v>271</v>
      </c>
      <c r="M6" s="109"/>
      <c r="N6" s="109"/>
      <c r="O6" s="110"/>
    </row>
    <row r="7" spans="1:15" s="19" customFormat="1" ht="15.75" customHeight="1">
      <c r="A7" s="332" t="s">
        <v>109</v>
      </c>
      <c r="B7" s="1098"/>
      <c r="C7" s="63" t="s">
        <v>356</v>
      </c>
      <c r="D7" s="112"/>
      <c r="E7" s="112"/>
      <c r="F7" s="112"/>
      <c r="G7" s="112"/>
      <c r="H7" s="112"/>
      <c r="I7" s="112"/>
      <c r="J7" s="113"/>
      <c r="K7" s="114"/>
      <c r="L7" s="112"/>
      <c r="M7" s="112"/>
      <c r="N7" s="112"/>
      <c r="O7" s="115"/>
    </row>
    <row r="8" spans="1:15" s="19" customFormat="1" ht="12.75" customHeight="1">
      <c r="A8" s="344"/>
      <c r="B8" s="116"/>
      <c r="C8" s="64" t="s">
        <v>434</v>
      </c>
      <c r="D8" s="112">
        <v>50642</v>
      </c>
      <c r="E8" s="112">
        <v>15895</v>
      </c>
      <c r="F8" s="112">
        <v>24235</v>
      </c>
      <c r="G8" s="112"/>
      <c r="H8" s="112"/>
      <c r="I8" s="112"/>
      <c r="J8" s="113">
        <f>SUM(D8:I8)</f>
        <v>90772</v>
      </c>
      <c r="K8" s="114"/>
      <c r="L8" s="112"/>
      <c r="M8" s="112"/>
      <c r="N8" s="112">
        <f>SUM(J8:M8)</f>
        <v>90772</v>
      </c>
      <c r="O8" s="115">
        <v>27.3</v>
      </c>
    </row>
    <row r="9" spans="1:15" s="19" customFormat="1" ht="12.75" customHeight="1">
      <c r="A9" s="344"/>
      <c r="B9" s="116"/>
      <c r="C9" s="64" t="s">
        <v>435</v>
      </c>
      <c r="D9" s="112">
        <v>50120</v>
      </c>
      <c r="E9" s="112">
        <v>14738</v>
      </c>
      <c r="F9" s="112">
        <v>29100</v>
      </c>
      <c r="G9" s="112"/>
      <c r="H9" s="112"/>
      <c r="I9" s="112">
        <v>0</v>
      </c>
      <c r="J9" s="113">
        <f>SUM(D9:I9)</f>
        <v>93958</v>
      </c>
      <c r="K9" s="114">
        <v>0</v>
      </c>
      <c r="L9" s="112">
        <v>0</v>
      </c>
      <c r="M9" s="112"/>
      <c r="N9" s="112">
        <f>SUM(J9:M9)</f>
        <v>93958</v>
      </c>
      <c r="O9" s="115">
        <v>27.3</v>
      </c>
    </row>
    <row r="10" spans="1:15" s="19" customFormat="1" ht="12.75" customHeight="1">
      <c r="A10" s="344"/>
      <c r="B10" s="116"/>
      <c r="C10" s="64" t="s">
        <v>436</v>
      </c>
      <c r="D10" s="112">
        <f>46429+528</f>
        <v>46957</v>
      </c>
      <c r="E10" s="112">
        <f>1+13834</f>
        <v>13835</v>
      </c>
      <c r="F10" s="112">
        <f>2305+20764+5293+386</f>
        <v>28748</v>
      </c>
      <c r="G10" s="112"/>
      <c r="H10" s="112"/>
      <c r="I10" s="112">
        <v>0</v>
      </c>
      <c r="J10" s="113">
        <f>SUM(D10:I10)</f>
        <v>89540</v>
      </c>
      <c r="K10" s="114">
        <v>0</v>
      </c>
      <c r="L10" s="112">
        <v>0</v>
      </c>
      <c r="M10" s="112"/>
      <c r="N10" s="112">
        <f>SUM(J10:M10)</f>
        <v>89540</v>
      </c>
      <c r="O10" s="115">
        <v>27.3</v>
      </c>
    </row>
    <row r="11" spans="1:15" ht="12.75" customHeight="1">
      <c r="A11" s="344" t="s">
        <v>111</v>
      </c>
      <c r="B11" s="116"/>
      <c r="C11" s="65" t="s">
        <v>489</v>
      </c>
      <c r="D11" s="116"/>
      <c r="E11" s="117"/>
      <c r="F11" s="117"/>
      <c r="G11" s="117"/>
      <c r="H11" s="117"/>
      <c r="I11" s="117"/>
      <c r="J11" s="113"/>
      <c r="K11" s="118"/>
      <c r="L11" s="117"/>
      <c r="M11" s="117"/>
      <c r="N11" s="117"/>
      <c r="O11" s="119"/>
    </row>
    <row r="12" spans="1:15" ht="12.75" customHeight="1">
      <c r="A12" s="344"/>
      <c r="B12" s="116"/>
      <c r="C12" s="64" t="s">
        <v>434</v>
      </c>
      <c r="D12" s="116">
        <v>28881</v>
      </c>
      <c r="E12" s="117">
        <v>9607</v>
      </c>
      <c r="F12" s="117">
        <v>11196</v>
      </c>
      <c r="G12" s="117"/>
      <c r="H12" s="117"/>
      <c r="I12" s="117"/>
      <c r="J12" s="113">
        <f>SUM(D12:I12)</f>
        <v>49684</v>
      </c>
      <c r="K12" s="118">
        <v>480</v>
      </c>
      <c r="L12" s="117"/>
      <c r="M12" s="117"/>
      <c r="N12" s="117">
        <f>SUM(J12:M12)</f>
        <v>50164</v>
      </c>
      <c r="O12" s="119">
        <v>13.3</v>
      </c>
    </row>
    <row r="13" spans="1:15" ht="12.75" customHeight="1">
      <c r="A13" s="344"/>
      <c r="B13" s="116"/>
      <c r="C13" s="64" t="s">
        <v>435</v>
      </c>
      <c r="D13" s="116">
        <v>26344</v>
      </c>
      <c r="E13" s="117">
        <v>8308</v>
      </c>
      <c r="F13" s="117">
        <v>13870</v>
      </c>
      <c r="G13" s="117"/>
      <c r="H13" s="117"/>
      <c r="I13" s="117">
        <v>0</v>
      </c>
      <c r="J13" s="113">
        <f>SUM(D13:I13)</f>
        <v>48522</v>
      </c>
      <c r="K13" s="118">
        <v>488</v>
      </c>
      <c r="L13" s="117">
        <v>0</v>
      </c>
      <c r="M13" s="117"/>
      <c r="N13" s="117">
        <f>SUM(J13:M13)</f>
        <v>49010</v>
      </c>
      <c r="O13" s="119">
        <v>13.3</v>
      </c>
    </row>
    <row r="14" spans="1:15" ht="12.75" customHeight="1">
      <c r="A14" s="344"/>
      <c r="B14" s="116"/>
      <c r="C14" s="64" t="s">
        <v>436</v>
      </c>
      <c r="D14" s="116">
        <f>24194+775</f>
        <v>24969</v>
      </c>
      <c r="E14" s="117">
        <v>7385</v>
      </c>
      <c r="F14" s="117">
        <f>806+8068+1199+277</f>
        <v>10350</v>
      </c>
      <c r="G14" s="117"/>
      <c r="H14" s="117"/>
      <c r="I14" s="117">
        <v>0</v>
      </c>
      <c r="J14" s="113">
        <f>SUM(D14:I14)</f>
        <v>42704</v>
      </c>
      <c r="K14" s="118">
        <v>488</v>
      </c>
      <c r="L14" s="117">
        <v>0</v>
      </c>
      <c r="M14" s="117"/>
      <c r="N14" s="117">
        <f>SUM(J14:M14)</f>
        <v>43192</v>
      </c>
      <c r="O14" s="119">
        <v>13.3</v>
      </c>
    </row>
    <row r="15" spans="1:15" ht="12.75" customHeight="1">
      <c r="A15" s="344" t="s">
        <v>113</v>
      </c>
      <c r="B15" s="116"/>
      <c r="C15" s="65" t="s">
        <v>357</v>
      </c>
      <c r="D15" s="117"/>
      <c r="E15" s="117"/>
      <c r="F15" s="117"/>
      <c r="G15" s="117" t="s">
        <v>281</v>
      </c>
      <c r="H15" s="117"/>
      <c r="I15" s="112"/>
      <c r="J15" s="113"/>
      <c r="K15" s="118"/>
      <c r="L15" s="117"/>
      <c r="M15" s="117"/>
      <c r="N15" s="117"/>
      <c r="O15" s="119"/>
    </row>
    <row r="16" spans="1:15" ht="12.75" customHeight="1">
      <c r="A16" s="344"/>
      <c r="B16" s="116"/>
      <c r="C16" s="64" t="s">
        <v>434</v>
      </c>
      <c r="D16" s="117">
        <v>83366</v>
      </c>
      <c r="E16" s="117">
        <v>26017</v>
      </c>
      <c r="F16" s="117">
        <v>10341</v>
      </c>
      <c r="G16" s="117"/>
      <c r="H16" s="117"/>
      <c r="I16" s="112"/>
      <c r="J16" s="113">
        <f>SUM(D16:I16)</f>
        <v>119724</v>
      </c>
      <c r="K16" s="118"/>
      <c r="L16" s="117"/>
      <c r="M16" s="117"/>
      <c r="N16" s="117">
        <f>SUM(J16:M16)</f>
        <v>119724</v>
      </c>
      <c r="O16" s="119">
        <v>35.1</v>
      </c>
    </row>
    <row r="17" spans="1:15" ht="12.75" customHeight="1">
      <c r="A17" s="344"/>
      <c r="B17" s="116"/>
      <c r="C17" s="64" t="s">
        <v>435</v>
      </c>
      <c r="D17" s="117">
        <v>82630</v>
      </c>
      <c r="E17" s="117">
        <v>24548</v>
      </c>
      <c r="F17" s="117">
        <v>11091</v>
      </c>
      <c r="G17" s="117"/>
      <c r="H17" s="117"/>
      <c r="I17" s="112">
        <v>0</v>
      </c>
      <c r="J17" s="113">
        <f>SUM(D17:I17)</f>
        <v>118269</v>
      </c>
      <c r="K17" s="118">
        <v>350</v>
      </c>
      <c r="L17" s="117">
        <v>0</v>
      </c>
      <c r="M17" s="117"/>
      <c r="N17" s="117">
        <f>SUM(J17:M17)</f>
        <v>118619</v>
      </c>
      <c r="O17" s="119">
        <v>35.1</v>
      </c>
    </row>
    <row r="18" spans="1:15" ht="12.75" customHeight="1">
      <c r="A18" s="344"/>
      <c r="B18" s="116"/>
      <c r="C18" s="64" t="s">
        <v>436</v>
      </c>
      <c r="D18" s="117">
        <f>74906+4666</f>
        <v>79572</v>
      </c>
      <c r="E18" s="117">
        <v>23592</v>
      </c>
      <c r="F18" s="117">
        <f>1374+3809+1241+474</f>
        <v>6898</v>
      </c>
      <c r="G18" s="117"/>
      <c r="H18" s="117"/>
      <c r="I18" s="112">
        <v>0</v>
      </c>
      <c r="J18" s="113">
        <f>SUM(D18:I18)</f>
        <v>110062</v>
      </c>
      <c r="K18" s="118">
        <v>350</v>
      </c>
      <c r="L18" s="117">
        <v>0</v>
      </c>
      <c r="M18" s="117"/>
      <c r="N18" s="117">
        <f>SUM(J18:M18)</f>
        <v>110412</v>
      </c>
      <c r="O18" s="119">
        <v>35.1</v>
      </c>
    </row>
    <row r="19" spans="1:15" ht="12.75" customHeight="1">
      <c r="A19" s="344" t="s">
        <v>115</v>
      </c>
      <c r="B19" s="116"/>
      <c r="C19" s="65" t="s">
        <v>229</v>
      </c>
      <c r="D19" s="117"/>
      <c r="E19" s="117"/>
      <c r="F19" s="117"/>
      <c r="G19" s="117"/>
      <c r="H19" s="117"/>
      <c r="I19" s="112"/>
      <c r="J19" s="113"/>
      <c r="K19" s="118"/>
      <c r="L19" s="117"/>
      <c r="M19" s="117"/>
      <c r="N19" s="117"/>
      <c r="O19" s="119"/>
    </row>
    <row r="20" spans="1:15" ht="12.75" customHeight="1">
      <c r="A20" s="344"/>
      <c r="B20" s="116"/>
      <c r="C20" s="64" t="s">
        <v>434</v>
      </c>
      <c r="D20" s="117">
        <v>12087</v>
      </c>
      <c r="E20" s="117">
        <v>3799</v>
      </c>
      <c r="F20" s="117">
        <v>10385</v>
      </c>
      <c r="G20" s="117"/>
      <c r="H20" s="117"/>
      <c r="I20" s="112"/>
      <c r="J20" s="113">
        <f>SUM(D20:I20)</f>
        <v>26271</v>
      </c>
      <c r="K20" s="118"/>
      <c r="L20" s="117"/>
      <c r="M20" s="117"/>
      <c r="N20" s="117">
        <f>SUM(J20:M20)</f>
        <v>26271</v>
      </c>
      <c r="O20" s="119">
        <v>7</v>
      </c>
    </row>
    <row r="21" spans="1:15" ht="12.75" customHeight="1">
      <c r="A21" s="344"/>
      <c r="B21" s="116"/>
      <c r="C21" s="64" t="s">
        <v>435</v>
      </c>
      <c r="D21" s="117">
        <v>12236</v>
      </c>
      <c r="E21" s="117">
        <v>3634</v>
      </c>
      <c r="F21" s="117">
        <v>12455</v>
      </c>
      <c r="G21" s="117"/>
      <c r="H21" s="117"/>
      <c r="I21" s="112">
        <v>0</v>
      </c>
      <c r="J21" s="113">
        <f>SUM(D21:I21)</f>
        <v>28325</v>
      </c>
      <c r="K21" s="118">
        <v>0</v>
      </c>
      <c r="L21" s="117">
        <v>0</v>
      </c>
      <c r="M21" s="117"/>
      <c r="N21" s="117">
        <f>SUM(J21:M21)</f>
        <v>28325</v>
      </c>
      <c r="O21" s="119">
        <v>7</v>
      </c>
    </row>
    <row r="22" spans="1:15" ht="12.75" customHeight="1">
      <c r="A22" s="344"/>
      <c r="B22" s="116"/>
      <c r="C22" s="64" t="s">
        <v>436</v>
      </c>
      <c r="D22" s="117">
        <f>10912+1042</f>
        <v>11954</v>
      </c>
      <c r="E22" s="117">
        <v>3368</v>
      </c>
      <c r="F22" s="117">
        <f>2615+7067+2293+6</f>
        <v>11981</v>
      </c>
      <c r="G22" s="117">
        <v>0</v>
      </c>
      <c r="H22" s="117"/>
      <c r="I22" s="112">
        <v>0</v>
      </c>
      <c r="J22" s="113">
        <f>SUM(D22:I22)</f>
        <v>27303</v>
      </c>
      <c r="K22" s="118">
        <v>0</v>
      </c>
      <c r="L22" s="117">
        <v>0</v>
      </c>
      <c r="M22" s="117"/>
      <c r="N22" s="117">
        <f>SUM(J22:M22)</f>
        <v>27303</v>
      </c>
      <c r="O22" s="119">
        <v>7</v>
      </c>
    </row>
    <row r="23" spans="1:15" ht="12.75" customHeight="1">
      <c r="A23" s="344" t="s">
        <v>117</v>
      </c>
      <c r="B23" s="116"/>
      <c r="C23" s="65" t="s">
        <v>230</v>
      </c>
      <c r="D23" s="117"/>
      <c r="E23" s="117"/>
      <c r="F23" s="117"/>
      <c r="G23" s="117"/>
      <c r="H23" s="117"/>
      <c r="I23" s="112"/>
      <c r="J23" s="113"/>
      <c r="K23" s="118"/>
      <c r="L23" s="117"/>
      <c r="M23" s="117"/>
      <c r="N23" s="117"/>
      <c r="O23" s="119"/>
    </row>
    <row r="24" spans="1:15" ht="12.75" customHeight="1">
      <c r="A24" s="344"/>
      <c r="B24" s="116"/>
      <c r="C24" s="64" t="s">
        <v>434</v>
      </c>
      <c r="D24" s="117">
        <v>17178</v>
      </c>
      <c r="E24" s="117">
        <v>5469</v>
      </c>
      <c r="F24" s="117">
        <v>9017</v>
      </c>
      <c r="G24" s="117"/>
      <c r="H24" s="117"/>
      <c r="I24" s="112"/>
      <c r="J24" s="113">
        <f>SUM(D24:I24)</f>
        <v>31664</v>
      </c>
      <c r="K24" s="118">
        <v>0</v>
      </c>
      <c r="L24" s="117"/>
      <c r="M24" s="117"/>
      <c r="N24" s="117">
        <f>SUM(J24:M24)</f>
        <v>31664</v>
      </c>
      <c r="O24" s="119">
        <v>9</v>
      </c>
    </row>
    <row r="25" spans="1:15" ht="12.75" customHeight="1">
      <c r="A25" s="344"/>
      <c r="B25" s="116"/>
      <c r="C25" s="64" t="s">
        <v>435</v>
      </c>
      <c r="D25" s="117">
        <v>16689</v>
      </c>
      <c r="E25" s="117">
        <v>5066</v>
      </c>
      <c r="F25" s="117">
        <v>10065</v>
      </c>
      <c r="G25" s="117"/>
      <c r="H25" s="117"/>
      <c r="I25" s="112">
        <v>0</v>
      </c>
      <c r="J25" s="113">
        <f>SUM(D25:I25)</f>
        <v>31820</v>
      </c>
      <c r="K25" s="118">
        <v>150</v>
      </c>
      <c r="L25" s="117">
        <v>0</v>
      </c>
      <c r="M25" s="117"/>
      <c r="N25" s="117">
        <f>SUM(J25:M25)</f>
        <v>31970</v>
      </c>
      <c r="O25" s="119">
        <v>9</v>
      </c>
    </row>
    <row r="26" spans="1:15" ht="12.75" customHeight="1">
      <c r="A26" s="344"/>
      <c r="B26" s="116"/>
      <c r="C26" s="64" t="s">
        <v>436</v>
      </c>
      <c r="D26" s="117">
        <f>16506+90</f>
        <v>16596</v>
      </c>
      <c r="E26" s="117">
        <v>4924</v>
      </c>
      <c r="F26" s="117">
        <f>4300+3947+1220+54</f>
        <v>9521</v>
      </c>
      <c r="G26" s="117"/>
      <c r="H26" s="117"/>
      <c r="I26" s="112">
        <v>0</v>
      </c>
      <c r="J26" s="113">
        <f>SUM(D26:I26)</f>
        <v>31041</v>
      </c>
      <c r="K26" s="118">
        <v>150</v>
      </c>
      <c r="L26" s="117">
        <v>0</v>
      </c>
      <c r="M26" s="117"/>
      <c r="N26" s="117">
        <f>SUM(J26:M26)</f>
        <v>31191</v>
      </c>
      <c r="O26" s="119">
        <v>9</v>
      </c>
    </row>
    <row r="27" spans="1:15" ht="12.75" customHeight="1">
      <c r="A27" s="344" t="s">
        <v>119</v>
      </c>
      <c r="B27" s="116"/>
      <c r="C27" s="65" t="s">
        <v>248</v>
      </c>
      <c r="D27" s="117"/>
      <c r="E27" s="117"/>
      <c r="F27" s="117"/>
      <c r="G27" s="117"/>
      <c r="H27" s="117"/>
      <c r="I27" s="112"/>
      <c r="J27" s="113"/>
      <c r="K27" s="118"/>
      <c r="L27" s="117"/>
      <c r="M27" s="117"/>
      <c r="N27" s="117"/>
      <c r="O27" s="119"/>
    </row>
    <row r="28" spans="1:15" ht="12.75" customHeight="1">
      <c r="A28" s="344"/>
      <c r="B28" s="116"/>
      <c r="C28" s="64" t="s">
        <v>434</v>
      </c>
      <c r="D28" s="117">
        <v>13268</v>
      </c>
      <c r="E28" s="117">
        <v>4221</v>
      </c>
      <c r="F28" s="117">
        <v>6435</v>
      </c>
      <c r="G28" s="117"/>
      <c r="H28" s="117"/>
      <c r="I28" s="112"/>
      <c r="J28" s="113">
        <f>SUM(D28:I28)</f>
        <v>23924</v>
      </c>
      <c r="K28" s="118"/>
      <c r="L28" s="117"/>
      <c r="M28" s="117"/>
      <c r="N28" s="117">
        <f>SUM(J28:M28)</f>
        <v>23924</v>
      </c>
      <c r="O28" s="119">
        <v>6</v>
      </c>
    </row>
    <row r="29" spans="1:15" ht="12.75" customHeight="1">
      <c r="A29" s="344"/>
      <c r="B29" s="116"/>
      <c r="C29" s="64" t="s">
        <v>435</v>
      </c>
      <c r="D29" s="117">
        <v>13196</v>
      </c>
      <c r="E29" s="117">
        <v>3991</v>
      </c>
      <c r="F29" s="117">
        <v>8723</v>
      </c>
      <c r="G29" s="117"/>
      <c r="H29" s="117"/>
      <c r="I29" s="112">
        <v>0</v>
      </c>
      <c r="J29" s="113">
        <f>SUM(D29:I29)</f>
        <v>25910</v>
      </c>
      <c r="K29" s="118">
        <v>1276</v>
      </c>
      <c r="L29" s="117">
        <v>0</v>
      </c>
      <c r="M29" s="117"/>
      <c r="N29" s="117">
        <f>SUM(J29:M29)</f>
        <v>27186</v>
      </c>
      <c r="O29" s="119">
        <v>6</v>
      </c>
    </row>
    <row r="30" spans="1:15" ht="12.75" customHeight="1">
      <c r="A30" s="344"/>
      <c r="B30" s="116"/>
      <c r="C30" s="64" t="s">
        <v>436</v>
      </c>
      <c r="D30" s="117">
        <f>12602+160</f>
        <v>12762</v>
      </c>
      <c r="E30" s="117">
        <v>3833</v>
      </c>
      <c r="F30" s="117">
        <f>1662+2744+1247+100</f>
        <v>5753</v>
      </c>
      <c r="G30" s="117"/>
      <c r="H30" s="117"/>
      <c r="I30" s="112">
        <v>0</v>
      </c>
      <c r="J30" s="113">
        <f>SUM(D30:I30)</f>
        <v>22348</v>
      </c>
      <c r="K30" s="118">
        <f>900+189</f>
        <v>1089</v>
      </c>
      <c r="L30" s="117">
        <v>0</v>
      </c>
      <c r="M30" s="117"/>
      <c r="N30" s="117">
        <f>SUM(J30:M30)</f>
        <v>23437</v>
      </c>
      <c r="O30" s="119">
        <v>6</v>
      </c>
    </row>
    <row r="31" spans="1:15" ht="12.75" customHeight="1">
      <c r="A31" s="344" t="s">
        <v>121</v>
      </c>
      <c r="B31" s="116"/>
      <c r="C31" s="65" t="s">
        <v>249</v>
      </c>
      <c r="D31" s="117"/>
      <c r="E31" s="117"/>
      <c r="F31" s="117"/>
      <c r="G31" s="117"/>
      <c r="H31" s="117"/>
      <c r="I31" s="117"/>
      <c r="J31" s="113"/>
      <c r="K31" s="118"/>
      <c r="L31" s="117"/>
      <c r="M31" s="117"/>
      <c r="N31" s="117"/>
      <c r="O31" s="119"/>
    </row>
    <row r="32" spans="1:15" ht="12.75" customHeight="1">
      <c r="A32" s="344"/>
      <c r="B32" s="116"/>
      <c r="C32" s="64" t="s">
        <v>434</v>
      </c>
      <c r="D32" s="117">
        <v>131339</v>
      </c>
      <c r="E32" s="117">
        <v>40671</v>
      </c>
      <c r="F32" s="117">
        <v>7487</v>
      </c>
      <c r="G32" s="117"/>
      <c r="H32" s="117"/>
      <c r="I32" s="117"/>
      <c r="J32" s="113">
        <f>SUM(D32:I32)</f>
        <v>179497</v>
      </c>
      <c r="K32" s="118">
        <v>1020</v>
      </c>
      <c r="L32" s="117"/>
      <c r="M32" s="117"/>
      <c r="N32" s="117">
        <f>SUM(J32:M32)</f>
        <v>180517</v>
      </c>
      <c r="O32" s="119">
        <v>43</v>
      </c>
    </row>
    <row r="33" spans="1:15" ht="12.75" customHeight="1">
      <c r="A33" s="344"/>
      <c r="B33" s="116"/>
      <c r="C33" s="64" t="s">
        <v>435</v>
      </c>
      <c r="D33" s="120">
        <v>130791</v>
      </c>
      <c r="E33" s="120">
        <v>37610</v>
      </c>
      <c r="F33" s="120">
        <v>17787</v>
      </c>
      <c r="G33" s="120"/>
      <c r="H33" s="120"/>
      <c r="I33" s="120"/>
      <c r="J33" s="113">
        <f>SUM(D33:I33)</f>
        <v>186188</v>
      </c>
      <c r="K33" s="121">
        <v>483</v>
      </c>
      <c r="L33" s="120">
        <v>0</v>
      </c>
      <c r="M33" s="120"/>
      <c r="N33" s="117">
        <f>SUM(J33:M33)</f>
        <v>186671</v>
      </c>
      <c r="O33" s="119">
        <v>43</v>
      </c>
    </row>
    <row r="34" spans="1:15" ht="12.75" customHeight="1" thickBot="1">
      <c r="A34" s="344"/>
      <c r="B34" s="116"/>
      <c r="C34" s="64" t="s">
        <v>436</v>
      </c>
      <c r="D34" s="120">
        <f>125801+1750</f>
        <v>127551</v>
      </c>
      <c r="E34" s="120">
        <v>37148</v>
      </c>
      <c r="F34" s="120">
        <f>7037+4270+2957+1160-1</f>
        <v>15423</v>
      </c>
      <c r="G34" s="120"/>
      <c r="H34" s="120"/>
      <c r="I34" s="120"/>
      <c r="J34" s="113">
        <f>SUM(D34:I34)</f>
        <v>180122</v>
      </c>
      <c r="K34" s="121">
        <f>357+89</f>
        <v>446</v>
      </c>
      <c r="L34" s="120"/>
      <c r="M34" s="120"/>
      <c r="N34" s="117">
        <f>SUM(J34:M34)</f>
        <v>180568</v>
      </c>
      <c r="O34" s="119">
        <v>43</v>
      </c>
    </row>
    <row r="35" spans="1:15" ht="12.75" customHeight="1" thickBot="1">
      <c r="A35" s="1316" t="s">
        <v>396</v>
      </c>
      <c r="B35" s="1317"/>
      <c r="C35" s="1318"/>
      <c r="D35" s="122"/>
      <c r="E35" s="122"/>
      <c r="F35" s="122"/>
      <c r="G35" s="122"/>
      <c r="H35" s="122"/>
      <c r="I35" s="122"/>
      <c r="J35" s="123"/>
      <c r="K35" s="124"/>
      <c r="L35" s="122"/>
      <c r="M35" s="122"/>
      <c r="N35" s="122"/>
      <c r="O35" s="125"/>
    </row>
    <row r="36" spans="1:15" s="17" customFormat="1" ht="12.75" customHeight="1">
      <c r="A36" s="1099"/>
      <c r="B36" s="1100"/>
      <c r="C36" s="66" t="s">
        <v>434</v>
      </c>
      <c r="D36" s="126">
        <f aca="true" t="shared" si="0" ref="D36:I36">D8+D12+D16+D20+D24+D28+D32</f>
        <v>336761</v>
      </c>
      <c r="E36" s="126">
        <f t="shared" si="0"/>
        <v>105679</v>
      </c>
      <c r="F36" s="126">
        <f t="shared" si="0"/>
        <v>79096</v>
      </c>
      <c r="G36" s="126">
        <f t="shared" si="0"/>
        <v>0</v>
      </c>
      <c r="H36" s="126">
        <f t="shared" si="0"/>
        <v>0</v>
      </c>
      <c r="I36" s="126">
        <f t="shared" si="0"/>
        <v>0</v>
      </c>
      <c r="J36" s="127">
        <f>D36+E36+F36+G36+H36+I36</f>
        <v>521536</v>
      </c>
      <c r="K36" s="128">
        <f aca="true" t="shared" si="1" ref="K36:M38">K8+K12+K16+K20+K24+K28+K32</f>
        <v>1500</v>
      </c>
      <c r="L36" s="128">
        <f t="shared" si="1"/>
        <v>0</v>
      </c>
      <c r="M36" s="128">
        <f t="shared" si="1"/>
        <v>0</v>
      </c>
      <c r="N36" s="126">
        <f>J36+K36+L36+M36</f>
        <v>523036</v>
      </c>
      <c r="O36" s="129">
        <f>O8+O12+O20+O24+O28+O32+O16</f>
        <v>140.7</v>
      </c>
    </row>
    <row r="37" spans="1:15" s="17" customFormat="1" ht="12.75" customHeight="1">
      <c r="A37" s="1101"/>
      <c r="B37" s="1102"/>
      <c r="C37" s="67" t="s">
        <v>435</v>
      </c>
      <c r="D37" s="130">
        <f aca="true" t="shared" si="2" ref="D37:I38">D9+D13+D17+D21+D25+D29+D33</f>
        <v>332006</v>
      </c>
      <c r="E37" s="130">
        <f t="shared" si="2"/>
        <v>97895</v>
      </c>
      <c r="F37" s="130">
        <f t="shared" si="2"/>
        <v>103091</v>
      </c>
      <c r="G37" s="130">
        <f t="shared" si="2"/>
        <v>0</v>
      </c>
      <c r="H37" s="130">
        <f t="shared" si="2"/>
        <v>0</v>
      </c>
      <c r="I37" s="130">
        <f t="shared" si="2"/>
        <v>0</v>
      </c>
      <c r="J37" s="131">
        <f>D37+E37+F37+G37+H37+I37</f>
        <v>532992</v>
      </c>
      <c r="K37" s="132">
        <f t="shared" si="1"/>
        <v>2747</v>
      </c>
      <c r="L37" s="132">
        <f t="shared" si="1"/>
        <v>0</v>
      </c>
      <c r="M37" s="132">
        <f t="shared" si="1"/>
        <v>0</v>
      </c>
      <c r="N37" s="130">
        <f>J37+K37+L37+M37</f>
        <v>535739</v>
      </c>
      <c r="O37" s="133">
        <f>O9+O13+O21+O25+O29+O33+O17</f>
        <v>140.7</v>
      </c>
    </row>
    <row r="38" spans="1:15" s="17" customFormat="1" ht="12.75" customHeight="1" thickBot="1">
      <c r="A38" s="1103"/>
      <c r="B38" s="1104"/>
      <c r="C38" s="68" t="s">
        <v>436</v>
      </c>
      <c r="D38" s="134">
        <f t="shared" si="2"/>
        <v>320361</v>
      </c>
      <c r="E38" s="134">
        <f t="shared" si="2"/>
        <v>94085</v>
      </c>
      <c r="F38" s="134">
        <f t="shared" si="2"/>
        <v>88674</v>
      </c>
      <c r="G38" s="134">
        <f t="shared" si="2"/>
        <v>0</v>
      </c>
      <c r="H38" s="134">
        <f t="shared" si="2"/>
        <v>0</v>
      </c>
      <c r="I38" s="134">
        <f t="shared" si="2"/>
        <v>0</v>
      </c>
      <c r="J38" s="135">
        <f>D38+E38+F38+G38+H38+I38</f>
        <v>503120</v>
      </c>
      <c r="K38" s="136">
        <f>K10+K14+K18+K22+K26+K30+K34</f>
        <v>2523</v>
      </c>
      <c r="L38" s="136">
        <f t="shared" si="1"/>
        <v>0</v>
      </c>
      <c r="M38" s="136">
        <f t="shared" si="1"/>
        <v>0</v>
      </c>
      <c r="N38" s="137">
        <f>J38+K38+L38+M38</f>
        <v>505643</v>
      </c>
      <c r="O38" s="138">
        <f>O10+O14+O22+O26+O30+O34+O18</f>
        <v>140.7</v>
      </c>
    </row>
    <row r="39" spans="1:15" s="17" customFormat="1" ht="12.75" customHeight="1">
      <c r="A39" s="332" t="s">
        <v>122</v>
      </c>
      <c r="B39" s="69"/>
      <c r="C39" s="69" t="s">
        <v>272</v>
      </c>
      <c r="D39" s="139"/>
      <c r="E39" s="139"/>
      <c r="F39" s="452"/>
      <c r="G39" s="139"/>
      <c r="H39" s="139"/>
      <c r="I39" s="139"/>
      <c r="J39" s="140"/>
      <c r="K39" s="141"/>
      <c r="L39" s="139"/>
      <c r="M39" s="139"/>
      <c r="N39" s="139"/>
      <c r="O39" s="142"/>
    </row>
    <row r="40" spans="1:15" s="17" customFormat="1" ht="12.75" customHeight="1">
      <c r="A40" s="344"/>
      <c r="B40" s="174"/>
      <c r="C40" s="67" t="s">
        <v>434</v>
      </c>
      <c r="D40" s="134">
        <f aca="true" t="shared" si="3" ref="D40:I42">D44+D48</f>
        <v>5490</v>
      </c>
      <c r="E40" s="134">
        <f t="shared" si="3"/>
        <v>1036</v>
      </c>
      <c r="F40" s="134">
        <f t="shared" si="3"/>
        <v>21125</v>
      </c>
      <c r="G40" s="134">
        <f t="shared" si="3"/>
        <v>0</v>
      </c>
      <c r="H40" s="134">
        <f t="shared" si="3"/>
        <v>0</v>
      </c>
      <c r="I40" s="134">
        <f t="shared" si="3"/>
        <v>0</v>
      </c>
      <c r="J40" s="135">
        <f>SUM(D40:I40)</f>
        <v>27651</v>
      </c>
      <c r="K40" s="136">
        <f>K44+K48</f>
        <v>0</v>
      </c>
      <c r="L40" s="136">
        <f>L44+L48</f>
        <v>0</v>
      </c>
      <c r="M40" s="136">
        <f>M44+M48</f>
        <v>0</v>
      </c>
      <c r="N40" s="134">
        <f>SUM(J40:M40)</f>
        <v>27651</v>
      </c>
      <c r="O40" s="115">
        <v>2</v>
      </c>
    </row>
    <row r="41" spans="1:15" s="17" customFormat="1" ht="12.75" customHeight="1">
      <c r="A41" s="344"/>
      <c r="B41" s="174"/>
      <c r="C41" s="67" t="s">
        <v>435</v>
      </c>
      <c r="D41" s="130">
        <f t="shared" si="3"/>
        <v>4942</v>
      </c>
      <c r="E41" s="130">
        <f t="shared" si="3"/>
        <v>1152</v>
      </c>
      <c r="F41" s="130">
        <f t="shared" si="3"/>
        <v>23304</v>
      </c>
      <c r="G41" s="130">
        <f t="shared" si="3"/>
        <v>0</v>
      </c>
      <c r="H41" s="130">
        <f t="shared" si="3"/>
        <v>0</v>
      </c>
      <c r="I41" s="130">
        <f t="shared" si="3"/>
        <v>0</v>
      </c>
      <c r="J41" s="131">
        <f>SUM(D41:I41)</f>
        <v>29398</v>
      </c>
      <c r="K41" s="143">
        <f aca="true" t="shared" si="4" ref="K41:M42">K45+K49</f>
        <v>0</v>
      </c>
      <c r="L41" s="132">
        <f t="shared" si="4"/>
        <v>0</v>
      </c>
      <c r="M41" s="132">
        <f t="shared" si="4"/>
        <v>0</v>
      </c>
      <c r="N41" s="130">
        <f>SUM(J41:M41)</f>
        <v>29398</v>
      </c>
      <c r="O41" s="144">
        <v>2</v>
      </c>
    </row>
    <row r="42" spans="1:15" s="17" customFormat="1" ht="12.75" customHeight="1">
      <c r="A42" s="344"/>
      <c r="B42" s="174"/>
      <c r="C42" s="67" t="s">
        <v>436</v>
      </c>
      <c r="D42" s="130">
        <f>D46+D50</f>
        <v>4078</v>
      </c>
      <c r="E42" s="130">
        <f>E46+E50</f>
        <v>1088</v>
      </c>
      <c r="F42" s="145">
        <f>F46+F50</f>
        <v>14348</v>
      </c>
      <c r="G42" s="130">
        <f t="shared" si="3"/>
        <v>0</v>
      </c>
      <c r="H42" s="130">
        <f t="shared" si="3"/>
        <v>0</v>
      </c>
      <c r="I42" s="130">
        <f t="shared" si="3"/>
        <v>0</v>
      </c>
      <c r="J42" s="131">
        <f>J46+J50</f>
        <v>19514</v>
      </c>
      <c r="K42" s="143">
        <f t="shared" si="4"/>
        <v>0</v>
      </c>
      <c r="L42" s="132">
        <f t="shared" si="4"/>
        <v>0</v>
      </c>
      <c r="M42" s="132">
        <f t="shared" si="4"/>
        <v>0</v>
      </c>
      <c r="N42" s="130">
        <f>N46+N50</f>
        <v>19514</v>
      </c>
      <c r="O42" s="119">
        <v>2</v>
      </c>
    </row>
    <row r="43" spans="1:15" ht="11.25" customHeight="1">
      <c r="A43" s="344"/>
      <c r="B43" s="335" t="s">
        <v>109</v>
      </c>
      <c r="C43" s="70" t="s">
        <v>646</v>
      </c>
      <c r="D43" s="146"/>
      <c r="E43" s="146"/>
      <c r="F43" s="146"/>
      <c r="G43" s="146"/>
      <c r="H43" s="146"/>
      <c r="I43" s="146"/>
      <c r="J43" s="147"/>
      <c r="K43" s="148"/>
      <c r="L43" s="146"/>
      <c r="M43" s="146"/>
      <c r="N43" s="146"/>
      <c r="O43" s="144"/>
    </row>
    <row r="44" spans="1:15" ht="11.25" customHeight="1">
      <c r="A44" s="344"/>
      <c r="B44" s="335"/>
      <c r="C44" s="64" t="s">
        <v>434</v>
      </c>
      <c r="D44" s="117">
        <v>5490</v>
      </c>
      <c r="E44" s="117">
        <v>1036</v>
      </c>
      <c r="F44" s="117">
        <v>1735</v>
      </c>
      <c r="G44" s="117"/>
      <c r="H44" s="117"/>
      <c r="I44" s="117"/>
      <c r="J44" s="149">
        <f>SUM(D44:I44)</f>
        <v>8261</v>
      </c>
      <c r="K44" s="118"/>
      <c r="L44" s="117"/>
      <c r="M44" s="117"/>
      <c r="N44" s="117">
        <f>SUM(J44:M44)</f>
        <v>8261</v>
      </c>
      <c r="O44" s="119">
        <v>2</v>
      </c>
    </row>
    <row r="45" spans="1:15" ht="11.25" customHeight="1">
      <c r="A45" s="344"/>
      <c r="B45" s="335"/>
      <c r="C45" s="64" t="s">
        <v>435</v>
      </c>
      <c r="D45" s="117">
        <v>4942</v>
      </c>
      <c r="E45" s="117">
        <v>1152</v>
      </c>
      <c r="F45" s="117">
        <v>3520</v>
      </c>
      <c r="G45" s="117"/>
      <c r="H45" s="117"/>
      <c r="I45" s="117"/>
      <c r="J45" s="149">
        <f>SUM(D45:I45)</f>
        <v>9614</v>
      </c>
      <c r="K45" s="118"/>
      <c r="L45" s="117"/>
      <c r="M45" s="117"/>
      <c r="N45" s="117">
        <f>SUM(J45:M45)</f>
        <v>9614</v>
      </c>
      <c r="O45" s="119">
        <v>2</v>
      </c>
    </row>
    <row r="46" spans="1:15" ht="11.25" customHeight="1">
      <c r="A46" s="344"/>
      <c r="B46" s="335"/>
      <c r="C46" s="64" t="s">
        <v>436</v>
      </c>
      <c r="D46" s="117">
        <v>4078</v>
      </c>
      <c r="E46" s="117">
        <v>1088</v>
      </c>
      <c r="F46" s="117">
        <f>521+195+148+350+487+177+21+1</f>
        <v>1900</v>
      </c>
      <c r="G46" s="117"/>
      <c r="H46" s="117"/>
      <c r="I46" s="117"/>
      <c r="J46" s="149">
        <f>SUM(D46:I46)</f>
        <v>7066</v>
      </c>
      <c r="K46" s="118"/>
      <c r="L46" s="117"/>
      <c r="M46" s="117"/>
      <c r="N46" s="117">
        <f>SUM(J46:M46)</f>
        <v>7066</v>
      </c>
      <c r="O46" s="119">
        <v>2</v>
      </c>
    </row>
    <row r="47" spans="1:15" ht="11.25" customHeight="1">
      <c r="A47" s="344"/>
      <c r="B47" s="335" t="s">
        <v>111</v>
      </c>
      <c r="C47" s="65" t="s">
        <v>358</v>
      </c>
      <c r="D47" s="117"/>
      <c r="E47" s="117"/>
      <c r="F47" s="117"/>
      <c r="G47" s="117"/>
      <c r="H47" s="117"/>
      <c r="I47" s="117"/>
      <c r="J47" s="149"/>
      <c r="K47" s="118"/>
      <c r="L47" s="117"/>
      <c r="M47" s="117"/>
      <c r="N47" s="117"/>
      <c r="O47" s="119"/>
    </row>
    <row r="48" spans="1:15" ht="11.25" customHeight="1">
      <c r="A48" s="344"/>
      <c r="B48" s="335"/>
      <c r="C48" s="64" t="s">
        <v>434</v>
      </c>
      <c r="D48" s="117"/>
      <c r="E48" s="117"/>
      <c r="F48" s="117">
        <v>19390</v>
      </c>
      <c r="G48" s="117"/>
      <c r="H48" s="117"/>
      <c r="I48" s="117"/>
      <c r="J48" s="149">
        <f>SUM(D48:H48)</f>
        <v>19390</v>
      </c>
      <c r="K48" s="118"/>
      <c r="L48" s="117"/>
      <c r="M48" s="117"/>
      <c r="N48" s="117">
        <f>SUM(J48:M48)</f>
        <v>19390</v>
      </c>
      <c r="O48" s="119"/>
    </row>
    <row r="49" spans="1:15" ht="11.25" customHeight="1">
      <c r="A49" s="344"/>
      <c r="B49" s="335"/>
      <c r="C49" s="64" t="s">
        <v>435</v>
      </c>
      <c r="D49" s="117"/>
      <c r="E49" s="117"/>
      <c r="F49" s="117">
        <v>19784</v>
      </c>
      <c r="G49" s="117"/>
      <c r="H49" s="117"/>
      <c r="I49" s="117"/>
      <c r="J49" s="149">
        <f>SUM(D49:H49)</f>
        <v>19784</v>
      </c>
      <c r="K49" s="118"/>
      <c r="L49" s="117"/>
      <c r="M49" s="117"/>
      <c r="N49" s="117">
        <f>SUM(J49:M49)</f>
        <v>19784</v>
      </c>
      <c r="O49" s="119"/>
    </row>
    <row r="50" spans="1:15" ht="11.25" customHeight="1" thickBot="1">
      <c r="A50" s="851"/>
      <c r="B50" s="1105"/>
      <c r="C50" s="72" t="s">
        <v>436</v>
      </c>
      <c r="D50" s="150"/>
      <c r="E50" s="150"/>
      <c r="F50" s="150">
        <v>12448</v>
      </c>
      <c r="G50" s="150"/>
      <c r="H50" s="150"/>
      <c r="I50" s="150"/>
      <c r="J50" s="151">
        <f>SUM(D50:H50)</f>
        <v>12448</v>
      </c>
      <c r="K50" s="152"/>
      <c r="L50" s="150"/>
      <c r="M50" s="150"/>
      <c r="N50" s="150">
        <f>SUM(J50:M50)</f>
        <v>12448</v>
      </c>
      <c r="O50" s="153"/>
    </row>
    <row r="51" spans="1:15" s="17" customFormat="1" ht="12.75" customHeight="1">
      <c r="A51" s="332" t="s">
        <v>124</v>
      </c>
      <c r="B51" s="73"/>
      <c r="C51" s="73" t="s">
        <v>273</v>
      </c>
      <c r="D51" s="145"/>
      <c r="E51" s="145"/>
      <c r="F51" s="145"/>
      <c r="G51" s="145"/>
      <c r="H51" s="145"/>
      <c r="I51" s="145"/>
      <c r="J51" s="154"/>
      <c r="K51" s="155"/>
      <c r="L51" s="145"/>
      <c r="M51" s="145"/>
      <c r="N51" s="145"/>
      <c r="O51" s="115"/>
    </row>
    <row r="52" spans="1:15" s="17" customFormat="1" ht="12.75" customHeight="1">
      <c r="A52" s="344"/>
      <c r="B52" s="174"/>
      <c r="C52" s="67" t="s">
        <v>434</v>
      </c>
      <c r="D52" s="156"/>
      <c r="E52" s="156"/>
      <c r="F52" s="156"/>
      <c r="G52" s="156"/>
      <c r="H52" s="156"/>
      <c r="I52" s="156"/>
      <c r="J52" s="157"/>
      <c r="K52" s="132">
        <f>K56</f>
        <v>7222</v>
      </c>
      <c r="L52" s="132">
        <f>L56</f>
        <v>0</v>
      </c>
      <c r="M52" s="132">
        <f>M56</f>
        <v>0</v>
      </c>
      <c r="N52" s="130">
        <f aca="true" t="shared" si="5" ref="N52:N57">SUM(J52:M52)</f>
        <v>7222</v>
      </c>
      <c r="O52" s="158"/>
    </row>
    <row r="53" spans="1:15" s="17" customFormat="1" ht="12.75" customHeight="1">
      <c r="A53" s="344"/>
      <c r="B53" s="174"/>
      <c r="C53" s="67" t="s">
        <v>435</v>
      </c>
      <c r="D53" s="156"/>
      <c r="E53" s="156"/>
      <c r="F53" s="156"/>
      <c r="G53" s="156"/>
      <c r="H53" s="156"/>
      <c r="I53" s="156"/>
      <c r="J53" s="157"/>
      <c r="K53" s="132">
        <f aca="true" t="shared" si="6" ref="K53:M54">K57</f>
        <v>78519</v>
      </c>
      <c r="L53" s="132">
        <f t="shared" si="6"/>
        <v>0</v>
      </c>
      <c r="M53" s="132">
        <f t="shared" si="6"/>
        <v>0</v>
      </c>
      <c r="N53" s="130">
        <f t="shared" si="5"/>
        <v>78519</v>
      </c>
      <c r="O53" s="158"/>
    </row>
    <row r="54" spans="1:15" s="17" customFormat="1" ht="12.75" customHeight="1">
      <c r="A54" s="344"/>
      <c r="B54" s="174"/>
      <c r="C54" s="67" t="s">
        <v>436</v>
      </c>
      <c r="D54" s="156"/>
      <c r="E54" s="156"/>
      <c r="F54" s="156"/>
      <c r="G54" s="156"/>
      <c r="H54" s="156"/>
      <c r="I54" s="156"/>
      <c r="J54" s="157"/>
      <c r="K54" s="132">
        <f>K58</f>
        <v>31338</v>
      </c>
      <c r="L54" s="132">
        <f>L58</f>
        <v>0</v>
      </c>
      <c r="M54" s="132">
        <f t="shared" si="6"/>
        <v>0</v>
      </c>
      <c r="N54" s="130">
        <f>SUM(J54:M54)</f>
        <v>31338</v>
      </c>
      <c r="O54" s="158"/>
    </row>
    <row r="55" spans="1:15" ht="11.25" customHeight="1">
      <c r="A55" s="344"/>
      <c r="B55" s="335" t="s">
        <v>109</v>
      </c>
      <c r="C55" s="65" t="s">
        <v>274</v>
      </c>
      <c r="D55" s="156"/>
      <c r="E55" s="156"/>
      <c r="F55" s="156"/>
      <c r="G55" s="156"/>
      <c r="H55" s="156"/>
      <c r="I55" s="156"/>
      <c r="J55" s="157"/>
      <c r="K55" s="121"/>
      <c r="L55" s="156"/>
      <c r="M55" s="156"/>
      <c r="N55" s="120"/>
      <c r="O55" s="158"/>
    </row>
    <row r="56" spans="1:15" ht="11.25" customHeight="1">
      <c r="A56" s="344"/>
      <c r="B56" s="335"/>
      <c r="C56" s="64" t="s">
        <v>434</v>
      </c>
      <c r="D56" s="130"/>
      <c r="E56" s="130"/>
      <c r="F56" s="130"/>
      <c r="G56" s="130"/>
      <c r="H56" s="130"/>
      <c r="I56" s="130"/>
      <c r="J56" s="131"/>
      <c r="K56" s="118">
        <v>7222</v>
      </c>
      <c r="L56" s="130"/>
      <c r="M56" s="130"/>
      <c r="N56" s="120">
        <f t="shared" si="5"/>
        <v>7222</v>
      </c>
      <c r="O56" s="119"/>
    </row>
    <row r="57" spans="1:15" ht="11.25" customHeight="1">
      <c r="A57" s="344"/>
      <c r="B57" s="335"/>
      <c r="C57" s="64" t="s">
        <v>435</v>
      </c>
      <c r="D57" s="130"/>
      <c r="E57" s="130"/>
      <c r="F57" s="130"/>
      <c r="G57" s="130"/>
      <c r="H57" s="130"/>
      <c r="I57" s="130"/>
      <c r="J57" s="131"/>
      <c r="K57" s="118">
        <v>78519</v>
      </c>
      <c r="L57" s="117">
        <v>0</v>
      </c>
      <c r="M57" s="130"/>
      <c r="N57" s="120">
        <f t="shared" si="5"/>
        <v>78519</v>
      </c>
      <c r="O57" s="119"/>
    </row>
    <row r="58" spans="1:15" ht="11.25" customHeight="1" thickBot="1">
      <c r="A58" s="851"/>
      <c r="B58" s="338"/>
      <c r="C58" s="74" t="s">
        <v>436</v>
      </c>
      <c r="D58" s="156"/>
      <c r="E58" s="156"/>
      <c r="F58" s="156"/>
      <c r="G58" s="156"/>
      <c r="H58" s="156"/>
      <c r="I58" s="156"/>
      <c r="J58" s="157"/>
      <c r="K58" s="121">
        <v>31338</v>
      </c>
      <c r="L58" s="120">
        <v>0</v>
      </c>
      <c r="M58" s="156"/>
      <c r="N58" s="120">
        <f>SUM(J58:M58)</f>
        <v>31338</v>
      </c>
      <c r="O58" s="158"/>
    </row>
    <row r="59" spans="1:15" s="17" customFormat="1" ht="12.75" customHeight="1">
      <c r="A59" s="332" t="s">
        <v>126</v>
      </c>
      <c r="B59" s="69"/>
      <c r="C59" s="69" t="s">
        <v>275</v>
      </c>
      <c r="D59" s="139"/>
      <c r="E59" s="139"/>
      <c r="F59" s="139"/>
      <c r="G59" s="139"/>
      <c r="H59" s="139"/>
      <c r="I59" s="139"/>
      <c r="J59" s="140"/>
      <c r="K59" s="141"/>
      <c r="L59" s="139"/>
      <c r="M59" s="139"/>
      <c r="N59" s="139"/>
      <c r="O59" s="142"/>
    </row>
    <row r="60" spans="1:15" s="17" customFormat="1" ht="12.75" customHeight="1">
      <c r="A60" s="344"/>
      <c r="B60" s="174"/>
      <c r="C60" s="67" t="s">
        <v>434</v>
      </c>
      <c r="D60" s="130">
        <f aca="true" t="shared" si="7" ref="D60:F61">D64+D68</f>
        <v>430</v>
      </c>
      <c r="E60" s="130">
        <f t="shared" si="7"/>
        <v>138</v>
      </c>
      <c r="F60" s="130">
        <f t="shared" si="7"/>
        <v>16158</v>
      </c>
      <c r="G60" s="130"/>
      <c r="H60" s="130"/>
      <c r="I60" s="130"/>
      <c r="J60" s="131">
        <f>SUM(D60:I60)</f>
        <v>16726</v>
      </c>
      <c r="K60" s="132"/>
      <c r="L60" s="130"/>
      <c r="M60" s="130"/>
      <c r="N60" s="130">
        <f>SUM(J60:M60)</f>
        <v>16726</v>
      </c>
      <c r="O60" s="119"/>
    </row>
    <row r="61" spans="1:15" s="17" customFormat="1" ht="12.75" customHeight="1">
      <c r="A61" s="344"/>
      <c r="B61" s="174"/>
      <c r="C61" s="67" t="s">
        <v>435</v>
      </c>
      <c r="D61" s="130">
        <f t="shared" si="7"/>
        <v>466</v>
      </c>
      <c r="E61" s="130">
        <f t="shared" si="7"/>
        <v>146</v>
      </c>
      <c r="F61" s="130">
        <f t="shared" si="7"/>
        <v>16616</v>
      </c>
      <c r="G61" s="130"/>
      <c r="H61" s="130"/>
      <c r="I61" s="130"/>
      <c r="J61" s="131">
        <f>SUM(D61:I61)</f>
        <v>17228</v>
      </c>
      <c r="K61" s="132"/>
      <c r="L61" s="130"/>
      <c r="M61" s="130"/>
      <c r="N61" s="130">
        <f>SUM(J61:M61)</f>
        <v>17228</v>
      </c>
      <c r="O61" s="119"/>
    </row>
    <row r="62" spans="1:15" s="17" customFormat="1" ht="12.75" customHeight="1">
      <c r="A62" s="344"/>
      <c r="B62" s="174"/>
      <c r="C62" s="67" t="s">
        <v>436</v>
      </c>
      <c r="D62" s="130">
        <f>D66+D70</f>
        <v>462</v>
      </c>
      <c r="E62" s="130">
        <f>E66+E70</f>
        <v>131</v>
      </c>
      <c r="F62" s="130">
        <f>F66+F70</f>
        <v>9317</v>
      </c>
      <c r="G62" s="130"/>
      <c r="H62" s="130"/>
      <c r="I62" s="130"/>
      <c r="J62" s="131">
        <f>SUM(D62:I62)</f>
        <v>9910</v>
      </c>
      <c r="K62" s="132"/>
      <c r="L62" s="130"/>
      <c r="M62" s="130"/>
      <c r="N62" s="130">
        <f>SUM(J62:M62)</f>
        <v>9910</v>
      </c>
      <c r="O62" s="119"/>
    </row>
    <row r="63" spans="1:15" ht="11.25" customHeight="1">
      <c r="A63" s="344"/>
      <c r="B63" s="335" t="s">
        <v>109</v>
      </c>
      <c r="C63" s="70" t="s">
        <v>276</v>
      </c>
      <c r="D63" s="130"/>
      <c r="E63" s="130"/>
      <c r="F63" s="117"/>
      <c r="G63" s="130"/>
      <c r="H63" s="130"/>
      <c r="I63" s="130"/>
      <c r="J63" s="149"/>
      <c r="K63" s="132"/>
      <c r="L63" s="130"/>
      <c r="M63" s="130"/>
      <c r="N63" s="117"/>
      <c r="O63" s="119"/>
    </row>
    <row r="64" spans="1:15" ht="11.25" customHeight="1">
      <c r="A64" s="344"/>
      <c r="B64" s="335"/>
      <c r="C64" s="64" t="s">
        <v>434</v>
      </c>
      <c r="D64" s="130"/>
      <c r="E64" s="130"/>
      <c r="F64" s="117">
        <v>15150</v>
      </c>
      <c r="G64" s="130"/>
      <c r="H64" s="130"/>
      <c r="I64" s="130"/>
      <c r="J64" s="149">
        <f>SUM(D64:H64)</f>
        <v>15150</v>
      </c>
      <c r="K64" s="132"/>
      <c r="L64" s="130"/>
      <c r="M64" s="130"/>
      <c r="N64" s="117">
        <f>SUM(J64:M64)</f>
        <v>15150</v>
      </c>
      <c r="O64" s="119"/>
    </row>
    <row r="65" spans="1:15" ht="11.25" customHeight="1">
      <c r="A65" s="344"/>
      <c r="B65" s="335"/>
      <c r="C65" s="64" t="s">
        <v>435</v>
      </c>
      <c r="D65" s="130"/>
      <c r="E65" s="130"/>
      <c r="F65" s="117">
        <v>15466</v>
      </c>
      <c r="G65" s="130"/>
      <c r="H65" s="130"/>
      <c r="I65" s="130"/>
      <c r="J65" s="149">
        <f>SUM(D65:H65)</f>
        <v>15466</v>
      </c>
      <c r="K65" s="132"/>
      <c r="L65" s="130"/>
      <c r="M65" s="130"/>
      <c r="N65" s="117">
        <f>SUM(J65:M65)</f>
        <v>15466</v>
      </c>
      <c r="O65" s="119"/>
    </row>
    <row r="66" spans="1:15" ht="11.25" customHeight="1">
      <c r="A66" s="344"/>
      <c r="B66" s="335"/>
      <c r="C66" s="64" t="s">
        <v>436</v>
      </c>
      <c r="D66" s="130"/>
      <c r="E66" s="130"/>
      <c r="F66" s="117">
        <v>8731</v>
      </c>
      <c r="G66" s="130"/>
      <c r="H66" s="130"/>
      <c r="I66" s="130"/>
      <c r="J66" s="149">
        <f>SUM(D66:H66)</f>
        <v>8731</v>
      </c>
      <c r="K66" s="132"/>
      <c r="L66" s="130"/>
      <c r="M66" s="130"/>
      <c r="N66" s="117">
        <f>SUM(J66:M66)</f>
        <v>8731</v>
      </c>
      <c r="O66" s="119"/>
    </row>
    <row r="67" spans="1:15" ht="11.25" customHeight="1">
      <c r="A67" s="344"/>
      <c r="B67" s="335" t="s">
        <v>111</v>
      </c>
      <c r="C67" s="75" t="s">
        <v>277</v>
      </c>
      <c r="D67" s="117"/>
      <c r="E67" s="117"/>
      <c r="F67" s="117"/>
      <c r="G67" s="117"/>
      <c r="H67" s="117"/>
      <c r="I67" s="117"/>
      <c r="J67" s="149"/>
      <c r="K67" s="118"/>
      <c r="L67" s="130"/>
      <c r="M67" s="130"/>
      <c r="N67" s="117"/>
      <c r="O67" s="119"/>
    </row>
    <row r="68" spans="1:15" ht="11.25" customHeight="1">
      <c r="A68" s="344"/>
      <c r="B68" s="335"/>
      <c r="C68" s="64" t="s">
        <v>434</v>
      </c>
      <c r="D68" s="117">
        <v>430</v>
      </c>
      <c r="E68" s="117">
        <v>138</v>
      </c>
      <c r="F68" s="117">
        <v>1008</v>
      </c>
      <c r="G68" s="117"/>
      <c r="H68" s="117"/>
      <c r="I68" s="117"/>
      <c r="J68" s="149">
        <f>SUM(D68:H68)</f>
        <v>1576</v>
      </c>
      <c r="K68" s="118"/>
      <c r="L68" s="130"/>
      <c r="M68" s="130"/>
      <c r="N68" s="117">
        <f>SUM(J68:M68)</f>
        <v>1576</v>
      </c>
      <c r="O68" s="119"/>
    </row>
    <row r="69" spans="1:15" ht="11.25" customHeight="1">
      <c r="A69" s="344"/>
      <c r="B69" s="335"/>
      <c r="C69" s="64" t="s">
        <v>435</v>
      </c>
      <c r="D69" s="117">
        <v>466</v>
      </c>
      <c r="E69" s="117">
        <v>146</v>
      </c>
      <c r="F69" s="117">
        <v>1150</v>
      </c>
      <c r="G69" s="117"/>
      <c r="H69" s="117"/>
      <c r="I69" s="117"/>
      <c r="J69" s="149">
        <f>SUM(D69:H69)</f>
        <v>1762</v>
      </c>
      <c r="K69" s="118"/>
      <c r="L69" s="130"/>
      <c r="M69" s="130"/>
      <c r="N69" s="117">
        <f>SUM(J69:M69)</f>
        <v>1762</v>
      </c>
      <c r="O69" s="119"/>
    </row>
    <row r="70" spans="1:15" ht="11.25" customHeight="1" thickBot="1">
      <c r="A70" s="851"/>
      <c r="B70" s="1105"/>
      <c r="C70" s="72" t="s">
        <v>436</v>
      </c>
      <c r="D70" s="150">
        <v>462</v>
      </c>
      <c r="E70" s="150">
        <v>131</v>
      </c>
      <c r="F70" s="150">
        <f>14+470+101+1</f>
        <v>586</v>
      </c>
      <c r="G70" s="150"/>
      <c r="H70" s="150"/>
      <c r="I70" s="150"/>
      <c r="J70" s="151">
        <f>SUM(D70:H70)</f>
        <v>1179</v>
      </c>
      <c r="K70" s="152"/>
      <c r="L70" s="159"/>
      <c r="M70" s="159"/>
      <c r="N70" s="150">
        <f>SUM(J70:M70)</f>
        <v>1179</v>
      </c>
      <c r="O70" s="153"/>
    </row>
    <row r="71" spans="1:15" ht="12.75" customHeight="1">
      <c r="A71" s="332" t="s">
        <v>127</v>
      </c>
      <c r="B71" s="1106"/>
      <c r="C71" s="73" t="s">
        <v>278</v>
      </c>
      <c r="D71" s="145"/>
      <c r="E71" s="145"/>
      <c r="F71" s="145"/>
      <c r="G71" s="145"/>
      <c r="H71" s="145"/>
      <c r="I71" s="145"/>
      <c r="J71" s="154"/>
      <c r="K71" s="155"/>
      <c r="L71" s="145"/>
      <c r="M71" s="145"/>
      <c r="N71" s="145"/>
      <c r="O71" s="115"/>
    </row>
    <row r="72" spans="1:15" ht="12.75" customHeight="1">
      <c r="A72" s="344"/>
      <c r="B72" s="116"/>
      <c r="C72" s="67" t="s">
        <v>434</v>
      </c>
      <c r="D72" s="130">
        <f aca="true" t="shared" si="8" ref="D72:I72">D76+D80+D84+D88+D92+D96+D100</f>
        <v>0</v>
      </c>
      <c r="E72" s="130">
        <f t="shared" si="8"/>
        <v>0</v>
      </c>
      <c r="F72" s="130">
        <f t="shared" si="8"/>
        <v>27746</v>
      </c>
      <c r="G72" s="130">
        <f t="shared" si="8"/>
        <v>0</v>
      </c>
      <c r="H72" s="130">
        <f t="shared" si="8"/>
        <v>253</v>
      </c>
      <c r="I72" s="130">
        <f t="shared" si="8"/>
        <v>0</v>
      </c>
      <c r="J72" s="131">
        <f>SUM(D72:I72)</f>
        <v>27999</v>
      </c>
      <c r="K72" s="132">
        <f>K76+K80+K84+K88+K92+K96+K100</f>
        <v>8227</v>
      </c>
      <c r="L72" s="132">
        <f>L76+L80+L84+L88+L92+L96+L100</f>
        <v>2000</v>
      </c>
      <c r="M72" s="132">
        <f>M76+M80+M84+M88+M92+M96+M100</f>
        <v>0</v>
      </c>
      <c r="N72" s="130">
        <f>SUM(J72:M72)</f>
        <v>38226</v>
      </c>
      <c r="O72" s="119"/>
    </row>
    <row r="73" spans="1:15" ht="12.75" customHeight="1">
      <c r="A73" s="344"/>
      <c r="B73" s="116"/>
      <c r="C73" s="67" t="s">
        <v>435</v>
      </c>
      <c r="D73" s="130">
        <f aca="true" t="shared" si="9" ref="D73:I74">D77+D81+D85+D89+D93+D97+D101</f>
        <v>0</v>
      </c>
      <c r="E73" s="130">
        <f t="shared" si="9"/>
        <v>0</v>
      </c>
      <c r="F73" s="130">
        <f t="shared" si="9"/>
        <v>39719</v>
      </c>
      <c r="G73" s="130">
        <f t="shared" si="9"/>
        <v>0</v>
      </c>
      <c r="H73" s="130">
        <f t="shared" si="9"/>
        <v>262</v>
      </c>
      <c r="I73" s="130">
        <f t="shared" si="9"/>
        <v>0</v>
      </c>
      <c r="J73" s="131">
        <f>SUM(D73:I73)</f>
        <v>39981</v>
      </c>
      <c r="K73" s="132">
        <f aca="true" t="shared" si="10" ref="K73:M74">K77+K81+K85+K89+K93+K97+K101+K105</f>
        <v>134558</v>
      </c>
      <c r="L73" s="132">
        <f t="shared" si="10"/>
        <v>2000</v>
      </c>
      <c r="M73" s="132">
        <f t="shared" si="10"/>
        <v>0</v>
      </c>
      <c r="N73" s="130">
        <f>SUM(J73:M73)</f>
        <v>176539</v>
      </c>
      <c r="O73" s="119"/>
    </row>
    <row r="74" spans="1:15" ht="12.75" customHeight="1">
      <c r="A74" s="344"/>
      <c r="B74" s="116"/>
      <c r="C74" s="67" t="s">
        <v>436</v>
      </c>
      <c r="D74" s="130">
        <f>D78+D82+D86+D90+D94+D98+D102</f>
        <v>0</v>
      </c>
      <c r="E74" s="130">
        <f t="shared" si="9"/>
        <v>0</v>
      </c>
      <c r="F74" s="130">
        <f>F78+F82+F86+F90+F94+F98+F102</f>
        <v>33949</v>
      </c>
      <c r="G74" s="130">
        <f t="shared" si="9"/>
        <v>0</v>
      </c>
      <c r="H74" s="130">
        <f t="shared" si="9"/>
        <v>0</v>
      </c>
      <c r="I74" s="130">
        <f t="shared" si="9"/>
        <v>0</v>
      </c>
      <c r="J74" s="131">
        <f>SUM(D74:I74)</f>
        <v>33949</v>
      </c>
      <c r="K74" s="132">
        <f>K78+K82+K86+K90+K94+K98+K102+K106</f>
        <v>25917</v>
      </c>
      <c r="L74" s="132">
        <f t="shared" si="10"/>
        <v>0</v>
      </c>
      <c r="M74" s="132">
        <f t="shared" si="10"/>
        <v>0</v>
      </c>
      <c r="N74" s="130">
        <f>SUM(J74:M74)</f>
        <v>59866</v>
      </c>
      <c r="O74" s="119"/>
    </row>
    <row r="75" spans="1:15" ht="14.25" customHeight="1">
      <c r="A75" s="344"/>
      <c r="B75" s="335" t="s">
        <v>109</v>
      </c>
      <c r="C75" s="1299" t="s">
        <v>359</v>
      </c>
      <c r="D75" s="1300"/>
      <c r="E75" s="1301"/>
      <c r="F75" s="117"/>
      <c r="G75" s="117"/>
      <c r="H75" s="117"/>
      <c r="I75" s="117"/>
      <c r="J75" s="149"/>
      <c r="K75" s="118"/>
      <c r="L75" s="117"/>
      <c r="M75" s="117"/>
      <c r="N75" s="117"/>
      <c r="O75" s="119"/>
    </row>
    <row r="76" spans="1:15" ht="14.25" customHeight="1">
      <c r="A76" s="344"/>
      <c r="B76" s="335"/>
      <c r="C76" s="64" t="s">
        <v>434</v>
      </c>
      <c r="D76" s="117"/>
      <c r="E76" s="117"/>
      <c r="F76" s="117">
        <v>7782</v>
      </c>
      <c r="G76" s="117"/>
      <c r="H76" s="117">
        <v>253</v>
      </c>
      <c r="I76" s="117"/>
      <c r="J76" s="149">
        <f>SUM(D76:H76)</f>
        <v>8035</v>
      </c>
      <c r="K76" s="118">
        <v>8227</v>
      </c>
      <c r="L76" s="117">
        <v>2000</v>
      </c>
      <c r="M76" s="117"/>
      <c r="N76" s="117">
        <f>SUM(J76:M76)</f>
        <v>18262</v>
      </c>
      <c r="O76" s="119"/>
    </row>
    <row r="77" spans="1:15" ht="12" customHeight="1">
      <c r="A77" s="344"/>
      <c r="B77" s="335"/>
      <c r="C77" s="64" t="s">
        <v>435</v>
      </c>
      <c r="D77" s="117"/>
      <c r="E77" s="117"/>
      <c r="F77" s="117">
        <v>9434</v>
      </c>
      <c r="G77" s="117"/>
      <c r="H77" s="117">
        <v>262</v>
      </c>
      <c r="I77" s="117"/>
      <c r="J77" s="149">
        <f>SUM(D77:H77)</f>
        <v>9696</v>
      </c>
      <c r="K77" s="118">
        <v>60094</v>
      </c>
      <c r="L77" s="117">
        <v>2000</v>
      </c>
      <c r="M77" s="117"/>
      <c r="N77" s="117">
        <f>SUM(J77:M77)</f>
        <v>71790</v>
      </c>
      <c r="O77" s="119"/>
    </row>
    <row r="78" spans="1:15" ht="11.25" customHeight="1">
      <c r="A78" s="344"/>
      <c r="B78" s="335"/>
      <c r="C78" s="64" t="s">
        <v>436</v>
      </c>
      <c r="D78" s="117"/>
      <c r="E78" s="117"/>
      <c r="F78" s="117">
        <f>3546+736+3435</f>
        <v>7717</v>
      </c>
      <c r="G78" s="117"/>
      <c r="H78" s="117">
        <v>0</v>
      </c>
      <c r="I78" s="117"/>
      <c r="J78" s="149">
        <f>SUM(D78:H78)</f>
        <v>7717</v>
      </c>
      <c r="K78" s="118">
        <f>18018+3642+432</f>
        <v>22092</v>
      </c>
      <c r="L78" s="117">
        <v>0</v>
      </c>
      <c r="M78" s="117"/>
      <c r="N78" s="117">
        <f>SUM(J78:M78)</f>
        <v>29809</v>
      </c>
      <c r="O78" s="119"/>
    </row>
    <row r="79" spans="1:15" ht="13.5" customHeight="1">
      <c r="A79" s="344"/>
      <c r="B79" s="335" t="s">
        <v>111</v>
      </c>
      <c r="C79" s="1299" t="s">
        <v>632</v>
      </c>
      <c r="D79" s="1300"/>
      <c r="E79" s="1301"/>
      <c r="F79" s="117"/>
      <c r="G79" s="117"/>
      <c r="H79" s="117"/>
      <c r="I79" s="117"/>
      <c r="J79" s="149"/>
      <c r="K79" s="118"/>
      <c r="L79" s="117"/>
      <c r="M79" s="117"/>
      <c r="N79" s="117"/>
      <c r="O79" s="119"/>
    </row>
    <row r="80" spans="1:15" ht="13.5" customHeight="1">
      <c r="A80" s="344"/>
      <c r="B80" s="335"/>
      <c r="C80" s="64" t="s">
        <v>434</v>
      </c>
      <c r="D80" s="117"/>
      <c r="E80" s="117"/>
      <c r="F80" s="117">
        <v>6200</v>
      </c>
      <c r="G80" s="117"/>
      <c r="H80" s="117"/>
      <c r="I80" s="117"/>
      <c r="J80" s="149">
        <f>SUM(D80:H80)</f>
        <v>6200</v>
      </c>
      <c r="K80" s="118">
        <v>0</v>
      </c>
      <c r="L80" s="117"/>
      <c r="M80" s="117"/>
      <c r="N80" s="117">
        <f>SUM(J80:M80)</f>
        <v>6200</v>
      </c>
      <c r="O80" s="119"/>
    </row>
    <row r="81" spans="1:15" ht="12.75" customHeight="1">
      <c r="A81" s="344"/>
      <c r="B81" s="335"/>
      <c r="C81" s="64" t="s">
        <v>435</v>
      </c>
      <c r="D81" s="117"/>
      <c r="E81" s="117"/>
      <c r="F81" s="117">
        <v>8330</v>
      </c>
      <c r="G81" s="117"/>
      <c r="H81" s="117"/>
      <c r="I81" s="117"/>
      <c r="J81" s="149">
        <f>SUM(D81:H81)</f>
        <v>8330</v>
      </c>
      <c r="K81" s="118">
        <v>65964</v>
      </c>
      <c r="L81" s="117"/>
      <c r="M81" s="117"/>
      <c r="N81" s="117">
        <f>SUM(J81:M81)</f>
        <v>74294</v>
      </c>
      <c r="O81" s="119"/>
    </row>
    <row r="82" spans="1:15" ht="11.25" customHeight="1">
      <c r="A82" s="344"/>
      <c r="B82" s="335"/>
      <c r="C82" s="64" t="s">
        <v>436</v>
      </c>
      <c r="D82" s="117"/>
      <c r="E82" s="117"/>
      <c r="F82" s="117">
        <f>6418+1176</f>
        <v>7594</v>
      </c>
      <c r="G82" s="117"/>
      <c r="H82" s="117"/>
      <c r="I82" s="117"/>
      <c r="J82" s="149">
        <f>SUM(D82:H82)</f>
        <v>7594</v>
      </c>
      <c r="K82" s="118">
        <v>0</v>
      </c>
      <c r="L82" s="117"/>
      <c r="M82" s="117"/>
      <c r="N82" s="117">
        <f>SUM(J82:M82)</f>
        <v>7594</v>
      </c>
      <c r="O82" s="119"/>
    </row>
    <row r="83" spans="1:15" ht="11.25" customHeight="1">
      <c r="A83" s="334"/>
      <c r="B83" s="335" t="s">
        <v>113</v>
      </c>
      <c r="C83" s="70" t="s">
        <v>360</v>
      </c>
      <c r="D83" s="117"/>
      <c r="E83" s="117"/>
      <c r="F83" s="117"/>
      <c r="G83" s="117"/>
      <c r="H83" s="117"/>
      <c r="I83" s="117"/>
      <c r="J83" s="149"/>
      <c r="K83" s="118"/>
      <c r="L83" s="117"/>
      <c r="M83" s="117"/>
      <c r="N83" s="117"/>
      <c r="O83" s="160"/>
    </row>
    <row r="84" spans="1:15" ht="11.25" customHeight="1">
      <c r="A84" s="334"/>
      <c r="B84" s="335"/>
      <c r="C84" s="64" t="s">
        <v>434</v>
      </c>
      <c r="D84" s="117"/>
      <c r="E84" s="117"/>
      <c r="F84" s="117">
        <v>449</v>
      </c>
      <c r="G84" s="117"/>
      <c r="H84" s="117"/>
      <c r="I84" s="117"/>
      <c r="J84" s="149">
        <f>SUM(D84:H84)</f>
        <v>449</v>
      </c>
      <c r="K84" s="118"/>
      <c r="L84" s="117"/>
      <c r="M84" s="117"/>
      <c r="N84" s="117">
        <f>SUM(J84:M84)</f>
        <v>449</v>
      </c>
      <c r="O84" s="160"/>
    </row>
    <row r="85" spans="1:15" ht="11.25" customHeight="1">
      <c r="A85" s="334"/>
      <c r="B85" s="335"/>
      <c r="C85" s="64" t="s">
        <v>435</v>
      </c>
      <c r="D85" s="117"/>
      <c r="E85" s="117"/>
      <c r="F85" s="117">
        <v>759</v>
      </c>
      <c r="G85" s="117"/>
      <c r="H85" s="117"/>
      <c r="I85" s="117"/>
      <c r="J85" s="149">
        <f>SUM(D85:H85)</f>
        <v>759</v>
      </c>
      <c r="K85" s="118"/>
      <c r="L85" s="117"/>
      <c r="M85" s="117"/>
      <c r="N85" s="117">
        <f>SUM(J85:M85)</f>
        <v>759</v>
      </c>
      <c r="O85" s="160"/>
    </row>
    <row r="86" spans="1:15" ht="11.25" customHeight="1">
      <c r="A86" s="334"/>
      <c r="B86" s="335"/>
      <c r="C86" s="64" t="s">
        <v>436</v>
      </c>
      <c r="D86" s="117">
        <v>0</v>
      </c>
      <c r="E86" s="117"/>
      <c r="F86" s="117">
        <v>590</v>
      </c>
      <c r="G86" s="117"/>
      <c r="H86" s="117"/>
      <c r="I86" s="117"/>
      <c r="J86" s="149">
        <f>SUM(D86:H86)</f>
        <v>590</v>
      </c>
      <c r="K86" s="118"/>
      <c r="L86" s="117"/>
      <c r="M86" s="117"/>
      <c r="N86" s="117">
        <f>SUM(J86:M86)</f>
        <v>590</v>
      </c>
      <c r="O86" s="160"/>
    </row>
    <row r="87" spans="1:15" ht="11.25" customHeight="1">
      <c r="A87" s="334"/>
      <c r="B87" s="335" t="s">
        <v>115</v>
      </c>
      <c r="C87" s="70" t="s">
        <v>362</v>
      </c>
      <c r="D87" s="117"/>
      <c r="E87" s="117"/>
      <c r="F87" s="117"/>
      <c r="G87" s="117"/>
      <c r="H87" s="117"/>
      <c r="I87" s="117"/>
      <c r="J87" s="149"/>
      <c r="K87" s="118"/>
      <c r="L87" s="117"/>
      <c r="M87" s="117"/>
      <c r="N87" s="117"/>
      <c r="O87" s="160"/>
    </row>
    <row r="88" spans="1:15" ht="11.25" customHeight="1">
      <c r="A88" s="334"/>
      <c r="B88" s="335"/>
      <c r="C88" s="64" t="s">
        <v>434</v>
      </c>
      <c r="D88" s="117"/>
      <c r="E88" s="117"/>
      <c r="F88" s="117">
        <v>2652</v>
      </c>
      <c r="G88" s="117"/>
      <c r="H88" s="117"/>
      <c r="I88" s="117"/>
      <c r="J88" s="149">
        <f>SUM(D88:H88)</f>
        <v>2652</v>
      </c>
      <c r="K88" s="118"/>
      <c r="L88" s="117"/>
      <c r="M88" s="117"/>
      <c r="N88" s="117">
        <f>SUM(J88:M88)</f>
        <v>2652</v>
      </c>
      <c r="O88" s="160"/>
    </row>
    <row r="89" spans="1:15" ht="11.25" customHeight="1">
      <c r="A89" s="334"/>
      <c r="B89" s="335"/>
      <c r="C89" s="64" t="s">
        <v>435</v>
      </c>
      <c r="D89" s="117"/>
      <c r="E89" s="117"/>
      <c r="F89" s="117">
        <v>4507</v>
      </c>
      <c r="G89" s="117"/>
      <c r="H89" s="117"/>
      <c r="I89" s="117"/>
      <c r="J89" s="149">
        <f>SUM(D89:H89)</f>
        <v>4507</v>
      </c>
      <c r="K89" s="118"/>
      <c r="L89" s="117"/>
      <c r="M89" s="117"/>
      <c r="N89" s="117">
        <f>SUM(J89:M89)</f>
        <v>4507</v>
      </c>
      <c r="O89" s="160"/>
    </row>
    <row r="90" spans="1:15" ht="14.25" customHeight="1">
      <c r="A90" s="334"/>
      <c r="B90" s="335"/>
      <c r="C90" s="64" t="s">
        <v>436</v>
      </c>
      <c r="D90" s="117"/>
      <c r="E90" s="117"/>
      <c r="F90" s="117">
        <v>3606</v>
      </c>
      <c r="G90" s="117"/>
      <c r="H90" s="117"/>
      <c r="I90" s="117"/>
      <c r="J90" s="149">
        <f>SUM(D90:H90)</f>
        <v>3606</v>
      </c>
      <c r="K90" s="118"/>
      <c r="L90" s="117"/>
      <c r="M90" s="117"/>
      <c r="N90" s="117">
        <f>SUM(J90:M90)</f>
        <v>3606</v>
      </c>
      <c r="O90" s="160"/>
    </row>
    <row r="91" spans="1:15" ht="11.25" customHeight="1">
      <c r="A91" s="334"/>
      <c r="B91" s="335" t="s">
        <v>117</v>
      </c>
      <c r="C91" s="65" t="s">
        <v>363</v>
      </c>
      <c r="D91" s="117"/>
      <c r="E91" s="117"/>
      <c r="F91" s="117"/>
      <c r="G91" s="117"/>
      <c r="H91" s="117"/>
      <c r="I91" s="117"/>
      <c r="J91" s="149"/>
      <c r="K91" s="118"/>
      <c r="L91" s="117"/>
      <c r="M91" s="117"/>
      <c r="N91" s="117"/>
      <c r="O91" s="160"/>
    </row>
    <row r="92" spans="1:15" ht="11.25" customHeight="1">
      <c r="A92" s="334"/>
      <c r="B92" s="335"/>
      <c r="C92" s="64" t="s">
        <v>434</v>
      </c>
      <c r="D92" s="117"/>
      <c r="E92" s="117"/>
      <c r="F92" s="117">
        <v>8384</v>
      </c>
      <c r="G92" s="117"/>
      <c r="H92" s="117"/>
      <c r="I92" s="117"/>
      <c r="J92" s="149">
        <f>SUM(D92:H92)</f>
        <v>8384</v>
      </c>
      <c r="K92" s="118"/>
      <c r="L92" s="117"/>
      <c r="M92" s="117"/>
      <c r="N92" s="117">
        <f>SUM(J92:M92)</f>
        <v>8384</v>
      </c>
      <c r="O92" s="160"/>
    </row>
    <row r="93" spans="1:15" ht="11.25" customHeight="1">
      <c r="A93" s="334"/>
      <c r="B93" s="335"/>
      <c r="C93" s="64" t="s">
        <v>435</v>
      </c>
      <c r="D93" s="117"/>
      <c r="E93" s="117"/>
      <c r="F93" s="117">
        <v>14271</v>
      </c>
      <c r="G93" s="117"/>
      <c r="H93" s="117"/>
      <c r="I93" s="117"/>
      <c r="J93" s="149">
        <f>SUM(D93:H93)</f>
        <v>14271</v>
      </c>
      <c r="K93" s="118"/>
      <c r="L93" s="117"/>
      <c r="M93" s="117"/>
      <c r="N93" s="117">
        <f>SUM(J93:M93)</f>
        <v>14271</v>
      </c>
      <c r="O93" s="160"/>
    </row>
    <row r="94" spans="1:15" ht="11.25" customHeight="1">
      <c r="A94" s="334"/>
      <c r="B94" s="335"/>
      <c r="C94" s="64" t="s">
        <v>436</v>
      </c>
      <c r="D94" s="117"/>
      <c r="E94" s="117"/>
      <c r="F94" s="117">
        <v>13336</v>
      </c>
      <c r="G94" s="117"/>
      <c r="H94" s="117"/>
      <c r="I94" s="117"/>
      <c r="J94" s="149">
        <f>SUM(D94:H94)</f>
        <v>13336</v>
      </c>
      <c r="K94" s="118"/>
      <c r="L94" s="117"/>
      <c r="M94" s="117"/>
      <c r="N94" s="117">
        <f>SUM(J94:M94)</f>
        <v>13336</v>
      </c>
      <c r="O94" s="160"/>
    </row>
    <row r="95" spans="1:15" ht="11.25" customHeight="1">
      <c r="A95" s="334"/>
      <c r="B95" s="335" t="s">
        <v>119</v>
      </c>
      <c r="C95" s="71" t="s">
        <v>364</v>
      </c>
      <c r="D95" s="117"/>
      <c r="E95" s="117"/>
      <c r="F95" s="117"/>
      <c r="G95" s="117"/>
      <c r="H95" s="117"/>
      <c r="I95" s="117"/>
      <c r="J95" s="149"/>
      <c r="K95" s="118"/>
      <c r="L95" s="117"/>
      <c r="M95" s="117"/>
      <c r="N95" s="117"/>
      <c r="O95" s="160"/>
    </row>
    <row r="96" spans="1:15" ht="11.25" customHeight="1">
      <c r="A96" s="334"/>
      <c r="B96" s="335"/>
      <c r="C96" s="64" t="s">
        <v>434</v>
      </c>
      <c r="D96" s="117">
        <v>0</v>
      </c>
      <c r="E96" s="117">
        <v>0</v>
      </c>
      <c r="F96" s="117">
        <v>479</v>
      </c>
      <c r="G96" s="117"/>
      <c r="H96" s="117"/>
      <c r="I96" s="117"/>
      <c r="J96" s="149">
        <f>SUM(D96:H96)</f>
        <v>479</v>
      </c>
      <c r="K96" s="118"/>
      <c r="L96" s="117"/>
      <c r="M96" s="117"/>
      <c r="N96" s="117">
        <f>SUM(J96:M96)</f>
        <v>479</v>
      </c>
      <c r="O96" s="160"/>
    </row>
    <row r="97" spans="1:15" ht="11.25" customHeight="1">
      <c r="A97" s="334"/>
      <c r="B97" s="335"/>
      <c r="C97" s="64" t="s">
        <v>435</v>
      </c>
      <c r="D97" s="117">
        <v>0</v>
      </c>
      <c r="E97" s="117">
        <v>0</v>
      </c>
      <c r="F97" s="117">
        <v>582</v>
      </c>
      <c r="G97" s="117"/>
      <c r="H97" s="117"/>
      <c r="I97" s="117"/>
      <c r="J97" s="149">
        <f>SUM(D97:H97)</f>
        <v>582</v>
      </c>
      <c r="K97" s="118"/>
      <c r="L97" s="117"/>
      <c r="M97" s="117"/>
      <c r="N97" s="117">
        <f>SUM(J97:M97)</f>
        <v>582</v>
      </c>
      <c r="O97" s="160"/>
    </row>
    <row r="98" spans="1:15" ht="11.25" customHeight="1">
      <c r="A98" s="334"/>
      <c r="B98" s="335"/>
      <c r="C98" s="64" t="s">
        <v>436</v>
      </c>
      <c r="D98" s="117">
        <v>0</v>
      </c>
      <c r="E98" s="117">
        <v>0</v>
      </c>
      <c r="F98" s="117">
        <v>421</v>
      </c>
      <c r="G98" s="117"/>
      <c r="H98" s="117"/>
      <c r="I98" s="117"/>
      <c r="J98" s="149">
        <f>SUM(D98:H98)</f>
        <v>421</v>
      </c>
      <c r="K98" s="118"/>
      <c r="L98" s="117"/>
      <c r="M98" s="117"/>
      <c r="N98" s="117">
        <f>SUM(J98:M98)</f>
        <v>421</v>
      </c>
      <c r="O98" s="160"/>
    </row>
    <row r="99" spans="1:15" ht="11.25" customHeight="1">
      <c r="A99" s="334"/>
      <c r="B99" s="335" t="s">
        <v>121</v>
      </c>
      <c r="C99" s="77" t="s">
        <v>699</v>
      </c>
      <c r="D99" s="117"/>
      <c r="E99" s="117"/>
      <c r="F99" s="117"/>
      <c r="G99" s="117"/>
      <c r="H99" s="117"/>
      <c r="I99" s="117"/>
      <c r="J99" s="149"/>
      <c r="K99" s="118"/>
      <c r="L99" s="117"/>
      <c r="M99" s="117"/>
      <c r="N99" s="117"/>
      <c r="O99" s="160"/>
    </row>
    <row r="100" spans="1:15" ht="11.25" customHeight="1">
      <c r="A100" s="334"/>
      <c r="B100" s="335"/>
      <c r="C100" s="64" t="s">
        <v>434</v>
      </c>
      <c r="D100" s="117"/>
      <c r="E100" s="117"/>
      <c r="F100" s="117">
        <v>1800</v>
      </c>
      <c r="G100" s="117"/>
      <c r="H100" s="117"/>
      <c r="I100" s="117"/>
      <c r="J100" s="149">
        <f>SUM(D100:H100)</f>
        <v>1800</v>
      </c>
      <c r="K100" s="118">
        <v>0</v>
      </c>
      <c r="L100" s="117"/>
      <c r="M100" s="117"/>
      <c r="N100" s="117">
        <f>SUM(J100:M100)</f>
        <v>1800</v>
      </c>
      <c r="O100" s="160"/>
    </row>
    <row r="101" spans="1:15" ht="11.25" customHeight="1">
      <c r="A101" s="334"/>
      <c r="B101" s="335"/>
      <c r="C101" s="64" t="s">
        <v>435</v>
      </c>
      <c r="D101" s="117"/>
      <c r="E101" s="117"/>
      <c r="F101" s="117">
        <v>1836</v>
      </c>
      <c r="G101" s="117"/>
      <c r="H101" s="117"/>
      <c r="I101" s="117"/>
      <c r="J101" s="149">
        <f>SUM(D101:H101)</f>
        <v>1836</v>
      </c>
      <c r="K101" s="118">
        <v>0</v>
      </c>
      <c r="L101" s="117"/>
      <c r="M101" s="117"/>
      <c r="N101" s="117">
        <f>SUM(J101:M101)</f>
        <v>1836</v>
      </c>
      <c r="O101" s="160"/>
    </row>
    <row r="102" spans="1:15" ht="11.25" customHeight="1">
      <c r="A102" s="358"/>
      <c r="B102" s="338"/>
      <c r="C102" s="74" t="s">
        <v>436</v>
      </c>
      <c r="D102" s="120"/>
      <c r="E102" s="120"/>
      <c r="F102" s="120">
        <v>685</v>
      </c>
      <c r="G102" s="120"/>
      <c r="H102" s="120"/>
      <c r="I102" s="120"/>
      <c r="J102" s="161">
        <f>SUM(D102:H102)</f>
        <v>685</v>
      </c>
      <c r="K102" s="121">
        <v>0</v>
      </c>
      <c r="L102" s="120"/>
      <c r="M102" s="120"/>
      <c r="N102" s="120">
        <f>SUM(J102:M102)</f>
        <v>685</v>
      </c>
      <c r="O102" s="162"/>
    </row>
    <row r="103" spans="1:15" ht="11.25" customHeight="1">
      <c r="A103" s="358"/>
      <c r="B103" s="338" t="s">
        <v>122</v>
      </c>
      <c r="C103" s="65" t="s">
        <v>721</v>
      </c>
      <c r="D103" s="120"/>
      <c r="E103" s="120"/>
      <c r="F103" s="120"/>
      <c r="G103" s="120"/>
      <c r="H103" s="120"/>
      <c r="I103" s="120"/>
      <c r="J103" s="161"/>
      <c r="K103" s="121"/>
      <c r="L103" s="120"/>
      <c r="M103" s="120"/>
      <c r="N103" s="120"/>
      <c r="O103" s="162"/>
    </row>
    <row r="104" spans="1:15" ht="11.25" customHeight="1">
      <c r="A104" s="334"/>
      <c r="B104" s="335"/>
      <c r="C104" s="78" t="s">
        <v>434</v>
      </c>
      <c r="D104" s="117"/>
      <c r="E104" s="117"/>
      <c r="F104" s="117"/>
      <c r="G104" s="117"/>
      <c r="H104" s="117"/>
      <c r="I104" s="117"/>
      <c r="J104" s="149">
        <f>SUM(D104:I104)</f>
        <v>0</v>
      </c>
      <c r="K104" s="118">
        <v>0</v>
      </c>
      <c r="L104" s="117"/>
      <c r="M104" s="117"/>
      <c r="N104" s="117">
        <f>SUM(J104:M104)</f>
        <v>0</v>
      </c>
      <c r="O104" s="160"/>
    </row>
    <row r="105" spans="1:15" ht="11.25" customHeight="1">
      <c r="A105" s="334"/>
      <c r="B105" s="335"/>
      <c r="C105" s="64" t="s">
        <v>435</v>
      </c>
      <c r="D105" s="117"/>
      <c r="E105" s="117"/>
      <c r="F105" s="117"/>
      <c r="G105" s="117"/>
      <c r="H105" s="117"/>
      <c r="I105" s="117"/>
      <c r="J105" s="149">
        <f>SUM(D105:I105)</f>
        <v>0</v>
      </c>
      <c r="K105" s="118">
        <v>8500</v>
      </c>
      <c r="L105" s="117"/>
      <c r="M105" s="117"/>
      <c r="N105" s="117">
        <f>SUM(J105:M105)</f>
        <v>8500</v>
      </c>
      <c r="O105" s="160"/>
    </row>
    <row r="106" spans="1:15" ht="11.25" customHeight="1" thickBot="1">
      <c r="A106" s="1107"/>
      <c r="B106" s="1105"/>
      <c r="C106" s="72" t="s">
        <v>436</v>
      </c>
      <c r="D106" s="150"/>
      <c r="E106" s="150"/>
      <c r="F106" s="150"/>
      <c r="G106" s="150"/>
      <c r="H106" s="150"/>
      <c r="I106" s="150"/>
      <c r="J106" s="151">
        <f>SUM(D106:I106)</f>
        <v>0</v>
      </c>
      <c r="K106" s="152">
        <v>3825</v>
      </c>
      <c r="L106" s="150"/>
      <c r="M106" s="150"/>
      <c r="N106" s="150">
        <f>SUM(J106:M106)</f>
        <v>3825</v>
      </c>
      <c r="O106" s="163"/>
    </row>
    <row r="107" spans="1:15" ht="12.75" customHeight="1">
      <c r="A107" s="350" t="s">
        <v>192</v>
      </c>
      <c r="B107" s="1106"/>
      <c r="C107" s="73" t="s">
        <v>279</v>
      </c>
      <c r="D107" s="145"/>
      <c r="E107" s="145"/>
      <c r="F107" s="145"/>
      <c r="G107" s="145"/>
      <c r="H107" s="145"/>
      <c r="I107" s="145"/>
      <c r="J107" s="154"/>
      <c r="K107" s="155"/>
      <c r="L107" s="145"/>
      <c r="M107" s="145"/>
      <c r="N107" s="145"/>
      <c r="O107" s="115"/>
    </row>
    <row r="108" spans="1:15" ht="12.75" customHeight="1">
      <c r="A108" s="344"/>
      <c r="B108" s="116"/>
      <c r="C108" s="67" t="s">
        <v>434</v>
      </c>
      <c r="D108" s="130">
        <f aca="true" t="shared" si="11" ref="D108:I108">D112+D116+D120+D124+D132+D128+D136+D140</f>
        <v>206963</v>
      </c>
      <c r="E108" s="130">
        <f t="shared" si="11"/>
        <v>62157</v>
      </c>
      <c r="F108" s="130">
        <f t="shared" si="11"/>
        <v>104333</v>
      </c>
      <c r="G108" s="130">
        <f t="shared" si="11"/>
        <v>0</v>
      </c>
      <c r="H108" s="130">
        <f t="shared" si="11"/>
        <v>0</v>
      </c>
      <c r="I108" s="130">
        <f t="shared" si="11"/>
        <v>5955</v>
      </c>
      <c r="J108" s="131">
        <f>SUM(D108:I108)</f>
        <v>379408</v>
      </c>
      <c r="K108" s="132">
        <f>K112+K116+K120+K124+K132+K128</f>
        <v>28056</v>
      </c>
      <c r="L108" s="130">
        <f>L112+L116+L120+L124+L132+L128</f>
        <v>3401</v>
      </c>
      <c r="M108" s="130">
        <f>M112+M116+M120+M124+M132+M128</f>
        <v>0</v>
      </c>
      <c r="N108" s="130">
        <f>SUM(J108:M108)</f>
        <v>410865</v>
      </c>
      <c r="O108" s="133">
        <f>O112+O116+O120+O124+O132+O128</f>
        <v>67</v>
      </c>
    </row>
    <row r="109" spans="1:15" ht="12.75" customHeight="1">
      <c r="A109" s="344"/>
      <c r="B109" s="116"/>
      <c r="C109" s="67" t="s">
        <v>435</v>
      </c>
      <c r="D109" s="130">
        <f>D113+D117+D121+D125+D133+D129+D137+D141+D145+D153+D157+D149</f>
        <v>202461</v>
      </c>
      <c r="E109" s="130">
        <f>E113+E117+E121+E125+E133+E129+E137+E141+E145+E153+E157+E149</f>
        <v>57744</v>
      </c>
      <c r="F109" s="130">
        <f aca="true" t="shared" si="12" ref="F109:I110">F113+F117+F121+F125+F133+F129+F137+F141+F145+F153+F157+F149</f>
        <v>155995</v>
      </c>
      <c r="G109" s="130">
        <f t="shared" si="12"/>
        <v>0</v>
      </c>
      <c r="H109" s="130">
        <f t="shared" si="12"/>
        <v>0</v>
      </c>
      <c r="I109" s="130">
        <f t="shared" si="12"/>
        <v>9587</v>
      </c>
      <c r="J109" s="131">
        <f>SUM(D109:I109)</f>
        <v>425787</v>
      </c>
      <c r="K109" s="130">
        <f aca="true" t="shared" si="13" ref="K109:M110">K113+K117+K121+K125+K133+K129+K137+K141+K145+K153+K157+K149</f>
        <v>349880</v>
      </c>
      <c r="L109" s="130">
        <f t="shared" si="13"/>
        <v>3673</v>
      </c>
      <c r="M109" s="130">
        <f t="shared" si="13"/>
        <v>300000</v>
      </c>
      <c r="N109" s="130">
        <f>SUM(J109:M109)</f>
        <v>1079340</v>
      </c>
      <c r="O109" s="133">
        <f>O113+O117+O121+O125+O133+O129</f>
        <v>67</v>
      </c>
    </row>
    <row r="110" spans="1:15" ht="12.75" customHeight="1">
      <c r="A110" s="344"/>
      <c r="B110" s="116"/>
      <c r="C110" s="67" t="s">
        <v>436</v>
      </c>
      <c r="D110" s="130">
        <f>D114+D118+D122+D126+D134+D130+D138+D142+D146+D154+D158+D150</f>
        <v>184019</v>
      </c>
      <c r="E110" s="130">
        <f>E114+E118+E122+E126+E134+E130+E138+E142+E146+E154+E158+E150</f>
        <v>52921</v>
      </c>
      <c r="F110" s="130">
        <f t="shared" si="12"/>
        <v>130970</v>
      </c>
      <c r="G110" s="130">
        <f t="shared" si="12"/>
        <v>0</v>
      </c>
      <c r="H110" s="130">
        <f t="shared" si="12"/>
        <v>0</v>
      </c>
      <c r="I110" s="130">
        <f t="shared" si="12"/>
        <v>9587</v>
      </c>
      <c r="J110" s="131">
        <f>SUM(D110:I110)</f>
        <v>377497</v>
      </c>
      <c r="K110" s="130">
        <f t="shared" si="13"/>
        <v>5442</v>
      </c>
      <c r="L110" s="130">
        <f t="shared" si="13"/>
        <v>472</v>
      </c>
      <c r="M110" s="130">
        <f t="shared" si="13"/>
        <v>0</v>
      </c>
      <c r="N110" s="130">
        <f>SUM(J110:M110)</f>
        <v>383411</v>
      </c>
      <c r="O110" s="133">
        <v>67</v>
      </c>
    </row>
    <row r="111" spans="1:15" ht="11.25" customHeight="1">
      <c r="A111" s="344"/>
      <c r="B111" s="335" t="s">
        <v>109</v>
      </c>
      <c r="C111" s="70" t="s">
        <v>365</v>
      </c>
      <c r="D111" s="117"/>
      <c r="E111" s="117"/>
      <c r="F111" s="117"/>
      <c r="G111" s="117"/>
      <c r="H111" s="117"/>
      <c r="I111" s="117"/>
      <c r="J111" s="149"/>
      <c r="K111" s="118"/>
      <c r="L111" s="117"/>
      <c r="M111" s="117"/>
      <c r="N111" s="117"/>
      <c r="O111" s="119"/>
    </row>
    <row r="112" spans="1:15" ht="11.25" customHeight="1">
      <c r="A112" s="344"/>
      <c r="B112" s="335"/>
      <c r="C112" s="64" t="s">
        <v>434</v>
      </c>
      <c r="D112" s="117">
        <v>201087</v>
      </c>
      <c r="E112" s="117">
        <v>60395</v>
      </c>
      <c r="F112" s="117">
        <v>46782</v>
      </c>
      <c r="G112" s="117"/>
      <c r="H112" s="117"/>
      <c r="I112" s="117"/>
      <c r="J112" s="149">
        <f>SUM(D112:I112)</f>
        <v>308264</v>
      </c>
      <c r="K112" s="118">
        <v>28056</v>
      </c>
      <c r="L112" s="117">
        <v>3401</v>
      </c>
      <c r="M112" s="117"/>
      <c r="N112" s="117">
        <f>SUM(J112:M112)</f>
        <v>339721</v>
      </c>
      <c r="O112" s="160">
        <v>64.5</v>
      </c>
    </row>
    <row r="113" spans="1:15" ht="11.25" customHeight="1">
      <c r="A113" s="344"/>
      <c r="B113" s="335"/>
      <c r="C113" s="64" t="s">
        <v>435</v>
      </c>
      <c r="D113" s="117">
        <v>194825</v>
      </c>
      <c r="E113" s="117">
        <v>55575</v>
      </c>
      <c r="F113" s="117">
        <v>49675</v>
      </c>
      <c r="G113" s="117"/>
      <c r="H113" s="117">
        <v>0</v>
      </c>
      <c r="I113" s="117">
        <v>0</v>
      </c>
      <c r="J113" s="149">
        <f>SUM(D113:I113)</f>
        <v>300075</v>
      </c>
      <c r="K113" s="118">
        <v>8665</v>
      </c>
      <c r="L113" s="117">
        <v>3673</v>
      </c>
      <c r="M113" s="117"/>
      <c r="N113" s="117">
        <f>SUM(J113:M113)</f>
        <v>312413</v>
      </c>
      <c r="O113" s="160">
        <v>64.5</v>
      </c>
    </row>
    <row r="114" spans="1:15" ht="11.25" customHeight="1">
      <c r="A114" s="344"/>
      <c r="B114" s="335"/>
      <c r="C114" s="64" t="s">
        <v>436</v>
      </c>
      <c r="D114" s="117">
        <f>174510+3006-1</f>
        <v>177515</v>
      </c>
      <c r="E114" s="117">
        <v>51074</v>
      </c>
      <c r="F114" s="117">
        <f>5592+33080+6555+3058+1</f>
        <v>48286</v>
      </c>
      <c r="G114" s="117"/>
      <c r="H114" s="117">
        <v>0</v>
      </c>
      <c r="I114" s="117">
        <v>0</v>
      </c>
      <c r="J114" s="149">
        <f>SUM(D114:I114)</f>
        <v>276875</v>
      </c>
      <c r="K114" s="118">
        <f>683+3072+741+946</f>
        <v>5442</v>
      </c>
      <c r="L114" s="117">
        <f>200+272</f>
        <v>472</v>
      </c>
      <c r="M114" s="117"/>
      <c r="N114" s="117">
        <f>SUM(J114:M114)</f>
        <v>282789</v>
      </c>
      <c r="O114" s="160">
        <v>64.5</v>
      </c>
    </row>
    <row r="115" spans="1:15" ht="11.25" customHeight="1">
      <c r="A115" s="344"/>
      <c r="B115" s="335" t="s">
        <v>111</v>
      </c>
      <c r="C115" s="71" t="s">
        <v>366</v>
      </c>
      <c r="D115" s="117"/>
      <c r="E115" s="117"/>
      <c r="F115" s="117"/>
      <c r="G115" s="117"/>
      <c r="H115" s="117"/>
      <c r="I115" s="117"/>
      <c r="J115" s="149"/>
      <c r="K115" s="118"/>
      <c r="L115" s="117"/>
      <c r="M115" s="117"/>
      <c r="N115" s="117"/>
      <c r="O115" s="160"/>
    </row>
    <row r="116" spans="1:15" ht="11.25" customHeight="1">
      <c r="A116" s="344"/>
      <c r="B116" s="335"/>
      <c r="C116" s="64" t="s">
        <v>434</v>
      </c>
      <c r="D116" s="117">
        <v>5376</v>
      </c>
      <c r="E116" s="117">
        <v>1602</v>
      </c>
      <c r="F116" s="117">
        <v>377</v>
      </c>
      <c r="G116" s="117"/>
      <c r="H116" s="117"/>
      <c r="I116" s="117"/>
      <c r="J116" s="149">
        <f>SUM(D116:I116)</f>
        <v>7355</v>
      </c>
      <c r="K116" s="118"/>
      <c r="L116" s="117"/>
      <c r="M116" s="117"/>
      <c r="N116" s="117">
        <f>SUM(J116:M116)</f>
        <v>7355</v>
      </c>
      <c r="O116" s="160">
        <v>2.5</v>
      </c>
    </row>
    <row r="117" spans="1:15" ht="11.25" customHeight="1">
      <c r="A117" s="344"/>
      <c r="B117" s="335"/>
      <c r="C117" s="64" t="s">
        <v>435</v>
      </c>
      <c r="D117" s="117">
        <v>5023</v>
      </c>
      <c r="E117" s="117">
        <v>1405</v>
      </c>
      <c r="F117" s="117">
        <v>384</v>
      </c>
      <c r="G117" s="117"/>
      <c r="H117" s="117"/>
      <c r="I117" s="117"/>
      <c r="J117" s="149">
        <f>SUM(D117:I117)</f>
        <v>6812</v>
      </c>
      <c r="K117" s="118"/>
      <c r="L117" s="117"/>
      <c r="M117" s="117"/>
      <c r="N117" s="117">
        <f>SUM(J117:M117)</f>
        <v>6812</v>
      </c>
      <c r="O117" s="160">
        <v>2.5</v>
      </c>
    </row>
    <row r="118" spans="1:15" ht="11.25" customHeight="1">
      <c r="A118" s="344"/>
      <c r="B118" s="335"/>
      <c r="C118" s="64" t="s">
        <v>436</v>
      </c>
      <c r="D118" s="117">
        <v>4420</v>
      </c>
      <c r="E118" s="117">
        <v>1252</v>
      </c>
      <c r="F118" s="117">
        <f>120+52+41+8</f>
        <v>221</v>
      </c>
      <c r="G118" s="117"/>
      <c r="H118" s="117"/>
      <c r="I118" s="117"/>
      <c r="J118" s="149">
        <f>SUM(D118:I118)</f>
        <v>5893</v>
      </c>
      <c r="K118" s="118"/>
      <c r="L118" s="117"/>
      <c r="M118" s="117"/>
      <c r="N118" s="117">
        <f>SUM(J118:M118)</f>
        <v>5893</v>
      </c>
      <c r="O118" s="160">
        <v>2.5</v>
      </c>
    </row>
    <row r="119" spans="1:15" ht="11.25" customHeight="1">
      <c r="A119" s="344"/>
      <c r="B119" s="335" t="s">
        <v>113</v>
      </c>
      <c r="C119" s="76" t="s">
        <v>367</v>
      </c>
      <c r="D119" s="117"/>
      <c r="E119" s="117"/>
      <c r="F119" s="117"/>
      <c r="G119" s="117"/>
      <c r="H119" s="117"/>
      <c r="I119" s="117"/>
      <c r="J119" s="149"/>
      <c r="K119" s="118"/>
      <c r="L119" s="117"/>
      <c r="M119" s="117"/>
      <c r="N119" s="117"/>
      <c r="O119" s="119"/>
    </row>
    <row r="120" spans="1:15" ht="11.25" customHeight="1">
      <c r="A120" s="344"/>
      <c r="B120" s="335"/>
      <c r="C120" s="64" t="s">
        <v>434</v>
      </c>
      <c r="D120" s="117">
        <v>500</v>
      </c>
      <c r="E120" s="117">
        <v>160</v>
      </c>
      <c r="F120" s="117"/>
      <c r="G120" s="117"/>
      <c r="H120" s="117"/>
      <c r="I120" s="117"/>
      <c r="J120" s="149">
        <f>SUM(D120:I120)</f>
        <v>660</v>
      </c>
      <c r="K120" s="118"/>
      <c r="L120" s="117"/>
      <c r="M120" s="117"/>
      <c r="N120" s="117">
        <f>SUM(J120:M120)</f>
        <v>660</v>
      </c>
      <c r="O120" s="119"/>
    </row>
    <row r="121" spans="1:15" ht="11.25" customHeight="1">
      <c r="A121" s="344"/>
      <c r="B121" s="335"/>
      <c r="C121" s="64" t="s">
        <v>435</v>
      </c>
      <c r="D121" s="117">
        <v>500</v>
      </c>
      <c r="E121" s="117">
        <v>160</v>
      </c>
      <c r="F121" s="117"/>
      <c r="G121" s="117"/>
      <c r="H121" s="117"/>
      <c r="I121" s="117"/>
      <c r="J121" s="149">
        <f>SUM(D121:I121)</f>
        <v>660</v>
      </c>
      <c r="K121" s="118"/>
      <c r="L121" s="117"/>
      <c r="M121" s="117"/>
      <c r="N121" s="117">
        <f>SUM(J121:M121)</f>
        <v>660</v>
      </c>
      <c r="O121" s="119"/>
    </row>
    <row r="122" spans="1:15" ht="11.25" customHeight="1">
      <c r="A122" s="344"/>
      <c r="B122" s="335"/>
      <c r="C122" s="64" t="s">
        <v>436</v>
      </c>
      <c r="D122" s="117">
        <v>0</v>
      </c>
      <c r="E122" s="117">
        <v>0</v>
      </c>
      <c r="F122" s="117"/>
      <c r="G122" s="117"/>
      <c r="H122" s="117"/>
      <c r="I122" s="117"/>
      <c r="J122" s="149">
        <f>SUM(D122:I122)</f>
        <v>0</v>
      </c>
      <c r="K122" s="118"/>
      <c r="L122" s="117">
        <v>0</v>
      </c>
      <c r="M122" s="117"/>
      <c r="N122" s="117">
        <f>SUM(J122:M122)</f>
        <v>0</v>
      </c>
      <c r="O122" s="119"/>
    </row>
    <row r="123" spans="1:15" ht="12.75">
      <c r="A123" s="344"/>
      <c r="B123" s="335" t="s">
        <v>115</v>
      </c>
      <c r="C123" s="76" t="s">
        <v>368</v>
      </c>
      <c r="D123" s="117"/>
      <c r="E123" s="117"/>
      <c r="F123" s="117"/>
      <c r="G123" s="117"/>
      <c r="H123" s="117"/>
      <c r="I123" s="117"/>
      <c r="J123" s="149"/>
      <c r="K123" s="118"/>
      <c r="L123" s="117"/>
      <c r="M123" s="117"/>
      <c r="N123" s="117"/>
      <c r="O123" s="119"/>
    </row>
    <row r="124" spans="1:15" ht="12.75">
      <c r="A124" s="344"/>
      <c r="B124" s="335"/>
      <c r="C124" s="64" t="s">
        <v>434</v>
      </c>
      <c r="D124" s="117"/>
      <c r="E124" s="117"/>
      <c r="F124" s="117">
        <v>200</v>
      </c>
      <c r="G124" s="117"/>
      <c r="H124" s="117"/>
      <c r="I124" s="117"/>
      <c r="J124" s="149">
        <f>SUM(D124:I124)</f>
        <v>200</v>
      </c>
      <c r="K124" s="118"/>
      <c r="L124" s="117"/>
      <c r="M124" s="117"/>
      <c r="N124" s="117">
        <f>SUM(J124:M124)</f>
        <v>200</v>
      </c>
      <c r="O124" s="119"/>
    </row>
    <row r="125" spans="1:15" ht="12.75">
      <c r="A125" s="344"/>
      <c r="B125" s="335"/>
      <c r="C125" s="64" t="s">
        <v>435</v>
      </c>
      <c r="D125" s="117">
        <v>39</v>
      </c>
      <c r="E125" s="117">
        <v>12</v>
      </c>
      <c r="F125" s="117">
        <v>149</v>
      </c>
      <c r="G125" s="117"/>
      <c r="H125" s="117"/>
      <c r="I125" s="117"/>
      <c r="J125" s="149">
        <f>SUM(D125:I125)</f>
        <v>200</v>
      </c>
      <c r="K125" s="118"/>
      <c r="L125" s="117"/>
      <c r="M125" s="117"/>
      <c r="N125" s="117">
        <f>SUM(J125:M125)</f>
        <v>200</v>
      </c>
      <c r="O125" s="119"/>
    </row>
    <row r="126" spans="1:15" ht="12.75">
      <c r="A126" s="344"/>
      <c r="B126" s="335"/>
      <c r="C126" s="64" t="s">
        <v>436</v>
      </c>
      <c r="D126" s="117">
        <v>10</v>
      </c>
      <c r="E126" s="117">
        <v>3</v>
      </c>
      <c r="F126" s="117">
        <v>43</v>
      </c>
      <c r="G126" s="117"/>
      <c r="H126" s="117"/>
      <c r="I126" s="117"/>
      <c r="J126" s="149">
        <f>SUM(D126:I126)</f>
        <v>56</v>
      </c>
      <c r="K126" s="118"/>
      <c r="L126" s="117"/>
      <c r="M126" s="117"/>
      <c r="N126" s="117">
        <f>SUM(J126:M126)</f>
        <v>56</v>
      </c>
      <c r="O126" s="119"/>
    </row>
    <row r="127" spans="1:15" ht="12.75">
      <c r="A127" s="344"/>
      <c r="B127" s="335" t="s">
        <v>117</v>
      </c>
      <c r="C127" s="75" t="s">
        <v>280</v>
      </c>
      <c r="D127" s="117"/>
      <c r="E127" s="117"/>
      <c r="F127" s="117"/>
      <c r="G127" s="117"/>
      <c r="H127" s="117"/>
      <c r="I127" s="117"/>
      <c r="J127" s="149"/>
      <c r="K127" s="118"/>
      <c r="L127" s="117"/>
      <c r="M127" s="117"/>
      <c r="N127" s="117"/>
      <c r="O127" s="119"/>
    </row>
    <row r="128" spans="1:15" ht="12.75">
      <c r="A128" s="344"/>
      <c r="B128" s="335"/>
      <c r="C128" s="64" t="s">
        <v>434</v>
      </c>
      <c r="D128" s="117"/>
      <c r="E128" s="117"/>
      <c r="F128" s="117"/>
      <c r="G128" s="117"/>
      <c r="H128" s="117"/>
      <c r="I128" s="117">
        <v>5955</v>
      </c>
      <c r="J128" s="149">
        <f>SUM(D128:I128)</f>
        <v>5955</v>
      </c>
      <c r="K128" s="118"/>
      <c r="L128" s="117"/>
      <c r="M128" s="117"/>
      <c r="N128" s="117">
        <f>SUM(J128:M128)</f>
        <v>5955</v>
      </c>
      <c r="O128" s="119"/>
    </row>
    <row r="129" spans="1:15" ht="12.75">
      <c r="A129" s="344"/>
      <c r="B129" s="335"/>
      <c r="C129" s="64" t="s">
        <v>435</v>
      </c>
      <c r="D129" s="117"/>
      <c r="E129" s="117"/>
      <c r="F129" s="117"/>
      <c r="G129" s="117"/>
      <c r="H129" s="117"/>
      <c r="I129" s="117">
        <v>9587</v>
      </c>
      <c r="J129" s="149">
        <f>SUM(D129:I129)</f>
        <v>9587</v>
      </c>
      <c r="K129" s="118"/>
      <c r="L129" s="117"/>
      <c r="M129" s="117"/>
      <c r="N129" s="117">
        <f>SUM(J129:M129)</f>
        <v>9587</v>
      </c>
      <c r="O129" s="119"/>
    </row>
    <row r="130" spans="1:15" ht="12.75">
      <c r="A130" s="344"/>
      <c r="B130" s="335"/>
      <c r="C130" s="64" t="s">
        <v>436</v>
      </c>
      <c r="D130" s="117"/>
      <c r="E130" s="117"/>
      <c r="F130" s="117"/>
      <c r="G130" s="117"/>
      <c r="H130" s="117"/>
      <c r="I130" s="117">
        <v>9587</v>
      </c>
      <c r="J130" s="149">
        <f>SUM(D130:I130)</f>
        <v>9587</v>
      </c>
      <c r="K130" s="118"/>
      <c r="L130" s="117"/>
      <c r="M130" s="117"/>
      <c r="N130" s="117">
        <f>SUM(J130:M130)</f>
        <v>9587</v>
      </c>
      <c r="O130" s="119"/>
    </row>
    <row r="131" spans="1:15" ht="11.25" customHeight="1">
      <c r="A131" s="344"/>
      <c r="B131" s="335" t="s">
        <v>119</v>
      </c>
      <c r="C131" s="903" t="s">
        <v>633</v>
      </c>
      <c r="D131" s="117"/>
      <c r="E131" s="117"/>
      <c r="F131" s="117"/>
      <c r="G131" s="117"/>
      <c r="H131" s="117"/>
      <c r="I131" s="117"/>
      <c r="J131" s="149"/>
      <c r="K131" s="118"/>
      <c r="L131" s="117"/>
      <c r="M131" s="117"/>
      <c r="N131" s="117"/>
      <c r="O131" s="119"/>
    </row>
    <row r="132" spans="1:15" ht="11.25" customHeight="1">
      <c r="A132" s="344"/>
      <c r="B132" s="335"/>
      <c r="C132" s="64" t="s">
        <v>434</v>
      </c>
      <c r="D132" s="117"/>
      <c r="E132" s="117"/>
      <c r="F132" s="117">
        <v>468</v>
      </c>
      <c r="G132" s="117"/>
      <c r="H132" s="117"/>
      <c r="I132" s="117"/>
      <c r="J132" s="149">
        <f>SUM(D132:I132)</f>
        <v>468</v>
      </c>
      <c r="K132" s="118"/>
      <c r="L132" s="117"/>
      <c r="M132" s="117"/>
      <c r="N132" s="117">
        <f>SUM(J132:M132)</f>
        <v>468</v>
      </c>
      <c r="O132" s="119"/>
    </row>
    <row r="133" spans="1:15" ht="11.25" customHeight="1">
      <c r="A133" s="344"/>
      <c r="B133" s="335"/>
      <c r="C133" s="64" t="s">
        <v>435</v>
      </c>
      <c r="D133" s="112"/>
      <c r="E133" s="112"/>
      <c r="F133" s="112">
        <v>9249</v>
      </c>
      <c r="G133" s="112"/>
      <c r="H133" s="112"/>
      <c r="I133" s="112"/>
      <c r="J133" s="165">
        <f>SUM(D133:I133)</f>
        <v>9249</v>
      </c>
      <c r="K133" s="114"/>
      <c r="L133" s="112"/>
      <c r="M133" s="112"/>
      <c r="N133" s="166">
        <f>SUM(J133:M133)</f>
        <v>9249</v>
      </c>
      <c r="O133" s="115"/>
    </row>
    <row r="134" spans="1:15" ht="11.25" customHeight="1">
      <c r="A134" s="851"/>
      <c r="B134" s="338"/>
      <c r="C134" s="74" t="s">
        <v>436</v>
      </c>
      <c r="D134" s="120"/>
      <c r="E134" s="120"/>
      <c r="F134" s="120">
        <v>4250</v>
      </c>
      <c r="G134" s="120"/>
      <c r="H134" s="120"/>
      <c r="I134" s="120"/>
      <c r="J134" s="161">
        <f>SUM(D134:I134)</f>
        <v>4250</v>
      </c>
      <c r="K134" s="121"/>
      <c r="L134" s="120"/>
      <c r="M134" s="120"/>
      <c r="N134" s="120">
        <f>SUM(J134:M134)</f>
        <v>4250</v>
      </c>
      <c r="O134" s="158"/>
    </row>
    <row r="135" spans="1:15" ht="11.25" customHeight="1">
      <c r="A135" s="344"/>
      <c r="B135" s="335" t="s">
        <v>121</v>
      </c>
      <c r="C135" s="80" t="s">
        <v>634</v>
      </c>
      <c r="D135" s="117"/>
      <c r="E135" s="117"/>
      <c r="F135" s="117"/>
      <c r="G135" s="117"/>
      <c r="H135" s="117"/>
      <c r="I135" s="117"/>
      <c r="J135" s="149"/>
      <c r="K135" s="118"/>
      <c r="L135" s="117"/>
      <c r="M135" s="117"/>
      <c r="N135" s="120"/>
      <c r="O135" s="119"/>
    </row>
    <row r="136" spans="1:15" ht="11.25" customHeight="1">
      <c r="A136" s="344"/>
      <c r="B136" s="335"/>
      <c r="C136" s="64" t="s">
        <v>434</v>
      </c>
      <c r="D136" s="117"/>
      <c r="E136" s="117"/>
      <c r="F136" s="117">
        <v>30000</v>
      </c>
      <c r="G136" s="117"/>
      <c r="H136" s="117"/>
      <c r="I136" s="117"/>
      <c r="J136" s="149">
        <f>SUM(D136:I136)</f>
        <v>30000</v>
      </c>
      <c r="K136" s="118"/>
      <c r="L136" s="117"/>
      <c r="M136" s="117"/>
      <c r="N136" s="120">
        <f aca="true" t="shared" si="14" ref="N136:N146">SUM(J136:M136)</f>
        <v>30000</v>
      </c>
      <c r="O136" s="119"/>
    </row>
    <row r="137" spans="1:15" ht="11.25" customHeight="1">
      <c r="A137" s="344"/>
      <c r="B137" s="335"/>
      <c r="C137" s="64" t="s">
        <v>435</v>
      </c>
      <c r="D137" s="117"/>
      <c r="E137" s="117"/>
      <c r="F137" s="117">
        <v>20327</v>
      </c>
      <c r="G137" s="117"/>
      <c r="H137" s="117"/>
      <c r="I137" s="117"/>
      <c r="J137" s="149">
        <f>SUM(D137:I137)</f>
        <v>20327</v>
      </c>
      <c r="K137" s="893"/>
      <c r="L137" s="117"/>
      <c r="M137" s="117"/>
      <c r="N137" s="117">
        <f t="shared" si="14"/>
        <v>20327</v>
      </c>
      <c r="O137" s="119"/>
    </row>
    <row r="138" spans="1:15" ht="11.25" customHeight="1">
      <c r="A138" s="344"/>
      <c r="B138" s="335"/>
      <c r="C138" s="64" t="s">
        <v>436</v>
      </c>
      <c r="D138" s="117"/>
      <c r="E138" s="117"/>
      <c r="F138" s="117">
        <f>1100+390+3879</f>
        <v>5369</v>
      </c>
      <c r="G138" s="117"/>
      <c r="H138" s="117"/>
      <c r="I138" s="117"/>
      <c r="J138" s="149">
        <f>SUM(D138:I138)</f>
        <v>5369</v>
      </c>
      <c r="K138" s="893"/>
      <c r="L138" s="117"/>
      <c r="M138" s="117"/>
      <c r="N138" s="117">
        <f t="shared" si="14"/>
        <v>5369</v>
      </c>
      <c r="O138" s="119"/>
    </row>
    <row r="139" spans="1:15" ht="11.25" customHeight="1">
      <c r="A139" s="344"/>
      <c r="B139" s="335" t="s">
        <v>122</v>
      </c>
      <c r="C139" s="64" t="s">
        <v>724</v>
      </c>
      <c r="D139" s="117"/>
      <c r="E139" s="117"/>
      <c r="F139" s="117"/>
      <c r="G139" s="117"/>
      <c r="H139" s="117"/>
      <c r="I139" s="117"/>
      <c r="J139" s="149" t="s">
        <v>314</v>
      </c>
      <c r="K139" s="118"/>
      <c r="L139" s="117"/>
      <c r="M139" s="117"/>
      <c r="N139" s="117"/>
      <c r="O139" s="119"/>
    </row>
    <row r="140" spans="1:15" ht="11.25" customHeight="1">
      <c r="A140" s="344"/>
      <c r="B140" s="335"/>
      <c r="C140" s="64" t="s">
        <v>434</v>
      </c>
      <c r="D140" s="117"/>
      <c r="E140" s="117"/>
      <c r="F140" s="117">
        <v>26506</v>
      </c>
      <c r="G140" s="117"/>
      <c r="H140" s="117"/>
      <c r="I140" s="117"/>
      <c r="J140" s="149">
        <f>SUM(D140:I140)</f>
        <v>26506</v>
      </c>
      <c r="K140" s="118"/>
      <c r="L140" s="117"/>
      <c r="M140" s="117"/>
      <c r="N140" s="117">
        <f t="shared" si="14"/>
        <v>26506</v>
      </c>
      <c r="O140" s="119"/>
    </row>
    <row r="141" spans="1:15" ht="11.25" customHeight="1">
      <c r="A141" s="344"/>
      <c r="B141" s="335"/>
      <c r="C141" s="64" t="s">
        <v>435</v>
      </c>
      <c r="D141" s="117"/>
      <c r="E141" s="117"/>
      <c r="F141" s="117">
        <v>55594</v>
      </c>
      <c r="G141" s="117"/>
      <c r="H141" s="117"/>
      <c r="I141" s="117"/>
      <c r="J141" s="149">
        <f>SUM(D141:I141)</f>
        <v>55594</v>
      </c>
      <c r="K141" s="118"/>
      <c r="L141" s="117"/>
      <c r="M141" s="117"/>
      <c r="N141" s="120">
        <f t="shared" si="14"/>
        <v>55594</v>
      </c>
      <c r="O141" s="119"/>
    </row>
    <row r="142" spans="1:15" ht="11.25" customHeight="1">
      <c r="A142" s="344"/>
      <c r="B142" s="335"/>
      <c r="C142" s="64" t="s">
        <v>436</v>
      </c>
      <c r="D142" s="117"/>
      <c r="E142" s="117"/>
      <c r="F142" s="117">
        <v>52179</v>
      </c>
      <c r="G142" s="117"/>
      <c r="H142" s="117"/>
      <c r="I142" s="117"/>
      <c r="J142" s="149">
        <f>SUM(D142:I142)</f>
        <v>52179</v>
      </c>
      <c r="K142" s="118"/>
      <c r="L142" s="117"/>
      <c r="M142" s="117"/>
      <c r="N142" s="117">
        <f t="shared" si="14"/>
        <v>52179</v>
      </c>
      <c r="O142" s="119"/>
    </row>
    <row r="143" spans="1:15" ht="11.25" customHeight="1">
      <c r="A143" s="344"/>
      <c r="B143" s="335" t="s">
        <v>124</v>
      </c>
      <c r="C143" s="903" t="s">
        <v>722</v>
      </c>
      <c r="D143" s="117"/>
      <c r="E143" s="117"/>
      <c r="F143" s="117"/>
      <c r="G143" s="117"/>
      <c r="H143" s="117"/>
      <c r="I143" s="117"/>
      <c r="J143" s="149"/>
      <c r="K143" s="118"/>
      <c r="L143" s="117"/>
      <c r="M143" s="117"/>
      <c r="N143" s="117"/>
      <c r="O143" s="119"/>
    </row>
    <row r="144" spans="1:15" ht="11.25" customHeight="1">
      <c r="A144" s="344"/>
      <c r="B144" s="335"/>
      <c r="C144" s="64" t="s">
        <v>434</v>
      </c>
      <c r="D144" s="117">
        <v>0</v>
      </c>
      <c r="E144" s="117">
        <v>0</v>
      </c>
      <c r="F144" s="117">
        <v>0</v>
      </c>
      <c r="G144" s="117"/>
      <c r="H144" s="117"/>
      <c r="I144" s="117"/>
      <c r="J144" s="149">
        <f>SUM(D144:I144)</f>
        <v>0</v>
      </c>
      <c r="K144" s="118"/>
      <c r="L144" s="117"/>
      <c r="M144" s="117"/>
      <c r="N144" s="117">
        <f t="shared" si="14"/>
        <v>0</v>
      </c>
      <c r="O144" s="119"/>
    </row>
    <row r="145" spans="1:15" ht="11.25" customHeight="1">
      <c r="A145" s="344"/>
      <c r="B145" s="335"/>
      <c r="C145" s="64" t="s">
        <v>435</v>
      </c>
      <c r="D145" s="117">
        <v>573</v>
      </c>
      <c r="E145" s="117">
        <v>176</v>
      </c>
      <c r="F145" s="117">
        <v>14129</v>
      </c>
      <c r="G145" s="117"/>
      <c r="H145" s="117"/>
      <c r="I145" s="117"/>
      <c r="J145" s="149">
        <f>SUM(D145:I145)</f>
        <v>14878</v>
      </c>
      <c r="K145" s="118"/>
      <c r="L145" s="117"/>
      <c r="M145" s="117"/>
      <c r="N145" s="117">
        <f t="shared" si="14"/>
        <v>14878</v>
      </c>
      <c r="O145" s="119"/>
    </row>
    <row r="146" spans="1:15" ht="11.25" customHeight="1" thickBot="1">
      <c r="A146" s="378"/>
      <c r="B146" s="1105"/>
      <c r="C146" s="72" t="s">
        <v>436</v>
      </c>
      <c r="D146" s="150">
        <v>573</v>
      </c>
      <c r="E146" s="150">
        <v>176</v>
      </c>
      <c r="F146" s="150">
        <f>412+3218+10498</f>
        <v>14128</v>
      </c>
      <c r="G146" s="150"/>
      <c r="H146" s="150"/>
      <c r="I146" s="150"/>
      <c r="J146" s="151">
        <f>SUM(D146:I146)</f>
        <v>14877</v>
      </c>
      <c r="K146" s="152"/>
      <c r="L146" s="150"/>
      <c r="M146" s="150"/>
      <c r="N146" s="150">
        <f t="shared" si="14"/>
        <v>14877</v>
      </c>
      <c r="O146" s="153"/>
    </row>
    <row r="147" spans="1:15" ht="11.25" customHeight="1">
      <c r="A147" s="936"/>
      <c r="B147" s="347" t="s">
        <v>126</v>
      </c>
      <c r="C147" s="904" t="s">
        <v>723</v>
      </c>
      <c r="D147" s="146"/>
      <c r="E147" s="146"/>
      <c r="F147" s="146"/>
      <c r="G147" s="146"/>
      <c r="H147" s="146"/>
      <c r="I147" s="146"/>
      <c r="J147" s="147"/>
      <c r="K147" s="148"/>
      <c r="L147" s="146"/>
      <c r="M147" s="146"/>
      <c r="N147" s="146"/>
      <c r="O147" s="144"/>
    </row>
    <row r="148" spans="1:15" ht="11.25" customHeight="1">
      <c r="A148" s="344"/>
      <c r="B148" s="335"/>
      <c r="C148" s="64" t="s">
        <v>434</v>
      </c>
      <c r="D148" s="117"/>
      <c r="E148" s="117"/>
      <c r="F148" s="117"/>
      <c r="G148" s="117"/>
      <c r="H148" s="117"/>
      <c r="I148" s="117"/>
      <c r="J148" s="149">
        <v>0</v>
      </c>
      <c r="K148" s="118"/>
      <c r="L148" s="117"/>
      <c r="M148" s="117"/>
      <c r="N148" s="117"/>
      <c r="O148" s="119"/>
    </row>
    <row r="149" spans="1:15" ht="11.25" customHeight="1">
      <c r="A149" s="344"/>
      <c r="B149" s="335"/>
      <c r="C149" s="64" t="s">
        <v>435</v>
      </c>
      <c r="D149" s="117"/>
      <c r="E149" s="117"/>
      <c r="F149" s="117">
        <v>5449</v>
      </c>
      <c r="G149" s="117"/>
      <c r="H149" s="117"/>
      <c r="I149" s="117"/>
      <c r="J149" s="149">
        <f>F149</f>
        <v>5449</v>
      </c>
      <c r="K149" s="118">
        <f>1654+339561</f>
        <v>341215</v>
      </c>
      <c r="L149" s="117">
        <v>0</v>
      </c>
      <c r="M149" s="117">
        <v>300000</v>
      </c>
      <c r="N149" s="117">
        <f>K149+M149+F149</f>
        <v>646664</v>
      </c>
      <c r="O149" s="119"/>
    </row>
    <row r="150" spans="1:15" ht="11.25" customHeight="1">
      <c r="A150" s="344"/>
      <c r="B150" s="335"/>
      <c r="C150" s="74" t="s">
        <v>436</v>
      </c>
      <c r="D150" s="117"/>
      <c r="E150" s="117"/>
      <c r="F150" s="117">
        <f>4457+997+1</f>
        <v>5455</v>
      </c>
      <c r="G150" s="117"/>
      <c r="H150" s="117"/>
      <c r="I150" s="117"/>
      <c r="J150" s="149">
        <f>F150</f>
        <v>5455</v>
      </c>
      <c r="K150" s="118"/>
      <c r="L150" s="117">
        <v>0</v>
      </c>
      <c r="M150" s="117"/>
      <c r="N150" s="117">
        <f>M150+K150+F150</f>
        <v>5455</v>
      </c>
      <c r="O150" s="119"/>
    </row>
    <row r="151" spans="1:15" ht="11.25" customHeight="1">
      <c r="A151" s="344"/>
      <c r="B151" s="335" t="s">
        <v>127</v>
      </c>
      <c r="C151" s="903" t="s">
        <v>725</v>
      </c>
      <c r="D151" s="117"/>
      <c r="E151" s="117"/>
      <c r="F151" s="117"/>
      <c r="G151" s="117"/>
      <c r="H151" s="117"/>
      <c r="I151" s="117"/>
      <c r="J151" s="149"/>
      <c r="K151" s="118"/>
      <c r="L151" s="117"/>
      <c r="M151" s="117"/>
      <c r="N151" s="117"/>
      <c r="O151" s="119"/>
    </row>
    <row r="152" spans="1:15" ht="11.25" customHeight="1">
      <c r="A152" s="344"/>
      <c r="B152" s="335"/>
      <c r="C152" s="64" t="s">
        <v>434</v>
      </c>
      <c r="D152" s="117"/>
      <c r="E152" s="117"/>
      <c r="F152" s="117">
        <v>0</v>
      </c>
      <c r="G152" s="117"/>
      <c r="H152" s="117"/>
      <c r="I152" s="117"/>
      <c r="J152" s="149">
        <v>0</v>
      </c>
      <c r="K152" s="118"/>
      <c r="L152" s="117"/>
      <c r="M152" s="117"/>
      <c r="N152" s="117">
        <v>0</v>
      </c>
      <c r="O152" s="119"/>
    </row>
    <row r="153" spans="1:15" ht="11.25" customHeight="1">
      <c r="A153" s="344"/>
      <c r="B153" s="335"/>
      <c r="C153" s="64" t="s">
        <v>435</v>
      </c>
      <c r="D153" s="117">
        <v>1351</v>
      </c>
      <c r="E153" s="117">
        <v>373</v>
      </c>
      <c r="F153" s="117">
        <v>894</v>
      </c>
      <c r="G153" s="117"/>
      <c r="H153" s="117"/>
      <c r="I153" s="117"/>
      <c r="J153" s="149">
        <f>SUM(D153:I153)</f>
        <v>2618</v>
      </c>
      <c r="K153" s="118"/>
      <c r="L153" s="117"/>
      <c r="M153" s="117"/>
      <c r="N153" s="117">
        <f>SUM(J153:M153)</f>
        <v>2618</v>
      </c>
      <c r="O153" s="119"/>
    </row>
    <row r="154" spans="1:15" ht="11.25" customHeight="1" thickBot="1">
      <c r="A154" s="378"/>
      <c r="B154" s="1105"/>
      <c r="C154" s="72" t="s">
        <v>436</v>
      </c>
      <c r="D154" s="150">
        <v>1351</v>
      </c>
      <c r="E154" s="150">
        <v>373</v>
      </c>
      <c r="F154" s="150">
        <f>57+666+171</f>
        <v>894</v>
      </c>
      <c r="G154" s="150"/>
      <c r="H154" s="150"/>
      <c r="I154" s="150"/>
      <c r="J154" s="151">
        <f>F154+E154+D154</f>
        <v>2618</v>
      </c>
      <c r="K154" s="152"/>
      <c r="L154" s="150"/>
      <c r="M154" s="150"/>
      <c r="N154" s="150">
        <f>SUM(J154:M154)</f>
        <v>2618</v>
      </c>
      <c r="O154" s="153"/>
    </row>
    <row r="155" spans="1:15" ht="11.25" customHeight="1">
      <c r="A155" s="936"/>
      <c r="B155" s="347" t="s">
        <v>192</v>
      </c>
      <c r="C155" s="904" t="s">
        <v>726</v>
      </c>
      <c r="D155" s="146"/>
      <c r="E155" s="146"/>
      <c r="F155" s="146"/>
      <c r="G155" s="146"/>
      <c r="H155" s="146"/>
      <c r="I155" s="146"/>
      <c r="J155" s="147"/>
      <c r="K155" s="148"/>
      <c r="L155" s="146"/>
      <c r="M155" s="146"/>
      <c r="N155" s="146"/>
      <c r="O155" s="144"/>
    </row>
    <row r="156" spans="1:15" ht="11.25" customHeight="1">
      <c r="A156" s="344"/>
      <c r="B156" s="335"/>
      <c r="C156" s="64" t="s">
        <v>434</v>
      </c>
      <c r="D156" s="117"/>
      <c r="E156" s="117"/>
      <c r="F156" s="117"/>
      <c r="G156" s="117"/>
      <c r="H156" s="117"/>
      <c r="I156" s="117"/>
      <c r="J156" s="149"/>
      <c r="K156" s="118"/>
      <c r="L156" s="117"/>
      <c r="M156" s="117"/>
      <c r="N156" s="117"/>
      <c r="O156" s="119"/>
    </row>
    <row r="157" spans="1:15" ht="11.25" customHeight="1">
      <c r="A157" s="344"/>
      <c r="B157" s="335"/>
      <c r="C157" s="64" t="s">
        <v>435</v>
      </c>
      <c r="D157" s="117">
        <v>150</v>
      </c>
      <c r="E157" s="117">
        <v>43</v>
      </c>
      <c r="F157" s="117">
        <v>145</v>
      </c>
      <c r="G157" s="117"/>
      <c r="H157" s="117"/>
      <c r="I157" s="117"/>
      <c r="J157" s="149">
        <f>SUM(D157:I157)</f>
        <v>338</v>
      </c>
      <c r="K157" s="118">
        <v>0</v>
      </c>
      <c r="L157" s="117"/>
      <c r="M157" s="117">
        <v>0</v>
      </c>
      <c r="N157" s="117">
        <f>SUM(J157:M157)</f>
        <v>338</v>
      </c>
      <c r="O157" s="119"/>
    </row>
    <row r="158" spans="1:15" ht="11.25" customHeight="1" thickBot="1">
      <c r="A158" s="378"/>
      <c r="B158" s="1105"/>
      <c r="C158" s="72" t="s">
        <v>436</v>
      </c>
      <c r="D158" s="150">
        <v>150</v>
      </c>
      <c r="E158" s="150">
        <v>43</v>
      </c>
      <c r="F158" s="150">
        <f>62+52+31</f>
        <v>145</v>
      </c>
      <c r="G158" s="150"/>
      <c r="H158" s="150"/>
      <c r="I158" s="150"/>
      <c r="J158" s="151">
        <f>SUM(D158:I158)</f>
        <v>338</v>
      </c>
      <c r="K158" s="152"/>
      <c r="L158" s="150"/>
      <c r="M158" s="150"/>
      <c r="N158" s="150">
        <f>SUM(J158:M158)</f>
        <v>338</v>
      </c>
      <c r="O158" s="153"/>
    </row>
    <row r="159" spans="1:15" ht="12.75" customHeight="1">
      <c r="A159" s="350">
        <v>13</v>
      </c>
      <c r="B159" s="1108"/>
      <c r="C159" s="73" t="s">
        <v>282</v>
      </c>
      <c r="D159" s="145"/>
      <c r="E159" s="145"/>
      <c r="F159" s="145"/>
      <c r="G159" s="112"/>
      <c r="H159" s="112"/>
      <c r="I159" s="112"/>
      <c r="J159" s="113"/>
      <c r="K159" s="114"/>
      <c r="L159" s="112"/>
      <c r="M159" s="112"/>
      <c r="N159" s="112"/>
      <c r="O159" s="115"/>
    </row>
    <row r="160" spans="1:15" ht="12.75" customHeight="1">
      <c r="A160" s="344"/>
      <c r="B160" s="335"/>
      <c r="C160" s="67" t="s">
        <v>434</v>
      </c>
      <c r="D160" s="145">
        <v>38187</v>
      </c>
      <c r="E160" s="145">
        <v>11885</v>
      </c>
      <c r="F160" s="145">
        <v>2459</v>
      </c>
      <c r="G160" s="112"/>
      <c r="H160" s="112"/>
      <c r="I160" s="112"/>
      <c r="J160" s="154">
        <f>SUM(D160:H160)</f>
        <v>52531</v>
      </c>
      <c r="K160" s="114"/>
      <c r="L160" s="112"/>
      <c r="M160" s="112"/>
      <c r="N160" s="145">
        <f>SUM(J160:M160)</f>
        <v>52531</v>
      </c>
      <c r="O160" s="115">
        <v>2</v>
      </c>
    </row>
    <row r="161" spans="1:15" ht="12.75" customHeight="1">
      <c r="A161" s="344"/>
      <c r="B161" s="335"/>
      <c r="C161" s="67" t="s">
        <v>435</v>
      </c>
      <c r="D161" s="145">
        <v>37237</v>
      </c>
      <c r="E161" s="145">
        <v>11069</v>
      </c>
      <c r="F161" s="145">
        <v>2520</v>
      </c>
      <c r="G161" s="112"/>
      <c r="H161" s="145">
        <v>0</v>
      </c>
      <c r="I161" s="112"/>
      <c r="J161" s="154">
        <f>SUM(D161:H161)</f>
        <v>50826</v>
      </c>
      <c r="K161" s="114"/>
      <c r="L161" s="112"/>
      <c r="M161" s="112"/>
      <c r="N161" s="145">
        <f>SUM(J161:M161)</f>
        <v>50826</v>
      </c>
      <c r="O161" s="115">
        <v>2</v>
      </c>
    </row>
    <row r="162" spans="1:15" ht="12.75" customHeight="1" thickBot="1">
      <c r="A162" s="851"/>
      <c r="B162" s="1105"/>
      <c r="C162" s="81" t="s">
        <v>436</v>
      </c>
      <c r="D162" s="159">
        <f>13807+22225</f>
        <v>36032</v>
      </c>
      <c r="E162" s="159">
        <v>9990</v>
      </c>
      <c r="F162" s="159">
        <f>379+239+1645+66</f>
        <v>2329</v>
      </c>
      <c r="G162" s="150"/>
      <c r="H162" s="159">
        <v>0</v>
      </c>
      <c r="I162" s="150"/>
      <c r="J162" s="167">
        <f>SUM(D162:H162)</f>
        <v>48351</v>
      </c>
      <c r="K162" s="152"/>
      <c r="L162" s="150"/>
      <c r="M162" s="150"/>
      <c r="N162" s="159">
        <f>SUM(J162:M162)</f>
        <v>48351</v>
      </c>
      <c r="O162" s="153">
        <v>2</v>
      </c>
    </row>
    <row r="163" spans="1:15" ht="12.75" customHeight="1">
      <c r="A163" s="332">
        <v>14</v>
      </c>
      <c r="B163" s="1108"/>
      <c r="C163" s="82" t="s">
        <v>283</v>
      </c>
      <c r="D163" s="145"/>
      <c r="E163" s="145"/>
      <c r="F163" s="145"/>
      <c r="G163" s="145"/>
      <c r="H163" s="145"/>
      <c r="I163" s="145"/>
      <c r="J163" s="154"/>
      <c r="K163" s="155"/>
      <c r="L163" s="145"/>
      <c r="M163" s="145"/>
      <c r="N163" s="145"/>
      <c r="O163" s="115"/>
    </row>
    <row r="164" spans="1:15" ht="12.75" customHeight="1">
      <c r="A164" s="344"/>
      <c r="B164" s="335"/>
      <c r="C164" s="67" t="s">
        <v>434</v>
      </c>
      <c r="D164" s="130"/>
      <c r="E164" s="130"/>
      <c r="F164" s="130">
        <v>0</v>
      </c>
      <c r="G164" s="130"/>
      <c r="H164" s="130">
        <v>920</v>
      </c>
      <c r="I164" s="130"/>
      <c r="J164" s="131">
        <f>SUM(D164:H164)</f>
        <v>920</v>
      </c>
      <c r="K164" s="132"/>
      <c r="L164" s="130">
        <v>0</v>
      </c>
      <c r="M164" s="130"/>
      <c r="N164" s="130">
        <f>SUM(J164:M164)</f>
        <v>920</v>
      </c>
      <c r="O164" s="119"/>
    </row>
    <row r="165" spans="1:15" ht="12.75" customHeight="1">
      <c r="A165" s="344"/>
      <c r="B165" s="335"/>
      <c r="C165" s="67" t="s">
        <v>435</v>
      </c>
      <c r="D165" s="130"/>
      <c r="E165" s="130"/>
      <c r="F165" s="130">
        <v>108</v>
      </c>
      <c r="G165" s="130"/>
      <c r="H165" s="130">
        <v>1020</v>
      </c>
      <c r="I165" s="130"/>
      <c r="J165" s="131">
        <f>SUM(D165:H165)</f>
        <v>1128</v>
      </c>
      <c r="K165" s="132"/>
      <c r="L165" s="130">
        <v>0</v>
      </c>
      <c r="M165" s="130"/>
      <c r="N165" s="130">
        <f>SUM(J165:M165)</f>
        <v>1128</v>
      </c>
      <c r="O165" s="119"/>
    </row>
    <row r="166" spans="1:15" ht="12.75" customHeight="1" thickBot="1">
      <c r="A166" s="851"/>
      <c r="B166" s="1105"/>
      <c r="C166" s="81" t="s">
        <v>436</v>
      </c>
      <c r="D166" s="159"/>
      <c r="E166" s="159"/>
      <c r="F166" s="159">
        <f>3+87</f>
        <v>90</v>
      </c>
      <c r="G166" s="159"/>
      <c r="H166" s="159">
        <v>1020</v>
      </c>
      <c r="I166" s="159"/>
      <c r="J166" s="167">
        <f>SUM(D166:H166)</f>
        <v>1110</v>
      </c>
      <c r="K166" s="168"/>
      <c r="L166" s="159">
        <v>0</v>
      </c>
      <c r="M166" s="159"/>
      <c r="N166" s="159">
        <f>SUM(J166:M166)</f>
        <v>1110</v>
      </c>
      <c r="O166" s="153"/>
    </row>
    <row r="167" spans="1:15" ht="12.75" customHeight="1">
      <c r="A167" s="332">
        <v>15</v>
      </c>
      <c r="B167" s="1106"/>
      <c r="C167" s="82" t="s">
        <v>284</v>
      </c>
      <c r="D167" s="145"/>
      <c r="E167" s="145"/>
      <c r="F167" s="145"/>
      <c r="G167" s="145"/>
      <c r="H167" s="145"/>
      <c r="I167" s="145"/>
      <c r="J167" s="154"/>
      <c r="K167" s="155"/>
      <c r="L167" s="145"/>
      <c r="M167" s="145"/>
      <c r="N167" s="145"/>
      <c r="O167" s="115"/>
    </row>
    <row r="168" spans="1:15" ht="12.75" customHeight="1">
      <c r="A168" s="344"/>
      <c r="B168" s="116"/>
      <c r="C168" s="67" t="s">
        <v>434</v>
      </c>
      <c r="D168" s="130">
        <v>70</v>
      </c>
      <c r="E168" s="130">
        <v>20</v>
      </c>
      <c r="F168" s="130">
        <v>1710</v>
      </c>
      <c r="G168" s="130"/>
      <c r="H168" s="130"/>
      <c r="I168" s="130"/>
      <c r="J168" s="131">
        <f>SUM(D168:H168)</f>
        <v>1800</v>
      </c>
      <c r="K168" s="132"/>
      <c r="L168" s="130"/>
      <c r="M168" s="130"/>
      <c r="N168" s="130">
        <f>SUM(J168:M168)</f>
        <v>1800</v>
      </c>
      <c r="O168" s="119"/>
    </row>
    <row r="169" spans="1:15" ht="12.75" customHeight="1">
      <c r="A169" s="344"/>
      <c r="B169" s="116"/>
      <c r="C169" s="67" t="s">
        <v>435</v>
      </c>
      <c r="D169" s="134">
        <v>70</v>
      </c>
      <c r="E169" s="134">
        <v>20</v>
      </c>
      <c r="F169" s="134">
        <v>1712</v>
      </c>
      <c r="G169" s="134"/>
      <c r="H169" s="134"/>
      <c r="I169" s="134"/>
      <c r="J169" s="157">
        <f>SUM(D169:H169)</f>
        <v>1802</v>
      </c>
      <c r="K169" s="136">
        <v>0</v>
      </c>
      <c r="L169" s="134"/>
      <c r="M169" s="134"/>
      <c r="N169" s="156">
        <f>SUM(J169:M169)</f>
        <v>1802</v>
      </c>
      <c r="O169" s="144"/>
    </row>
    <row r="170" spans="1:15" ht="12.75" customHeight="1" thickBot="1">
      <c r="A170" s="851"/>
      <c r="B170" s="171"/>
      <c r="C170" s="81" t="s">
        <v>436</v>
      </c>
      <c r="D170" s="159">
        <v>0</v>
      </c>
      <c r="E170" s="159">
        <v>0</v>
      </c>
      <c r="F170" s="159">
        <f>375+495+196+64</f>
        <v>1130</v>
      </c>
      <c r="G170" s="159"/>
      <c r="H170" s="159"/>
      <c r="I170" s="159"/>
      <c r="J170" s="167">
        <f>SUM(D170:H170)</f>
        <v>1130</v>
      </c>
      <c r="K170" s="168">
        <v>0</v>
      </c>
      <c r="L170" s="159"/>
      <c r="M170" s="159"/>
      <c r="N170" s="159">
        <f>SUM(J170:M170)</f>
        <v>1130</v>
      </c>
      <c r="O170" s="153"/>
    </row>
    <row r="171" spans="1:15" ht="12.75" customHeight="1">
      <c r="A171" s="332">
        <v>16</v>
      </c>
      <c r="B171" s="1106"/>
      <c r="C171" s="61" t="s">
        <v>727</v>
      </c>
      <c r="D171" s="145"/>
      <c r="E171" s="145"/>
      <c r="F171" s="145"/>
      <c r="G171" s="145"/>
      <c r="H171" s="145"/>
      <c r="I171" s="145"/>
      <c r="J171" s="154"/>
      <c r="K171" s="155"/>
      <c r="L171" s="145"/>
      <c r="M171" s="145"/>
      <c r="N171" s="145"/>
      <c r="O171" s="169"/>
    </row>
    <row r="172" spans="1:15" ht="12.75" customHeight="1">
      <c r="A172" s="344"/>
      <c r="B172" s="116"/>
      <c r="C172" s="67" t="s">
        <v>434</v>
      </c>
      <c r="D172" s="130">
        <v>22000</v>
      </c>
      <c r="E172" s="130">
        <v>8000</v>
      </c>
      <c r="F172" s="130">
        <v>0</v>
      </c>
      <c r="G172" s="130"/>
      <c r="H172" s="130"/>
      <c r="I172" s="130"/>
      <c r="J172" s="131">
        <f>SUM(D172:I172)</f>
        <v>30000</v>
      </c>
      <c r="K172" s="132"/>
      <c r="L172" s="130"/>
      <c r="M172" s="130"/>
      <c r="N172" s="130">
        <f>SUM(J172:M172)</f>
        <v>30000</v>
      </c>
      <c r="O172" s="133">
        <v>0</v>
      </c>
    </row>
    <row r="173" spans="1:15" ht="12.75" customHeight="1">
      <c r="A173" s="344"/>
      <c r="B173" s="116"/>
      <c r="C173" s="67" t="s">
        <v>435</v>
      </c>
      <c r="D173" s="130">
        <v>28644</v>
      </c>
      <c r="E173" s="130">
        <v>5243</v>
      </c>
      <c r="F173" s="130">
        <v>1980</v>
      </c>
      <c r="G173" s="130"/>
      <c r="H173" s="130"/>
      <c r="I173" s="130"/>
      <c r="J173" s="131">
        <f>SUM(D173:I173)</f>
        <v>35867</v>
      </c>
      <c r="K173" s="132">
        <v>808</v>
      </c>
      <c r="L173" s="130"/>
      <c r="M173" s="130"/>
      <c r="N173" s="130">
        <f>SUM(J173:M173)</f>
        <v>36675</v>
      </c>
      <c r="O173" s="133">
        <v>60</v>
      </c>
    </row>
    <row r="174" spans="1:15" ht="12.75" customHeight="1" thickBot="1">
      <c r="A174" s="851"/>
      <c r="B174" s="171"/>
      <c r="C174" s="72" t="s">
        <v>436</v>
      </c>
      <c r="D174" s="159">
        <f>772+27522</f>
        <v>28294</v>
      </c>
      <c r="E174" s="159">
        <f>287+4630</f>
        <v>4917</v>
      </c>
      <c r="F174" s="159">
        <f>19+4+378+208+143+20</f>
        <v>772</v>
      </c>
      <c r="G174" s="159"/>
      <c r="H174" s="159"/>
      <c r="I174" s="159"/>
      <c r="J174" s="167">
        <f>SUM(D174:I174)</f>
        <v>33983</v>
      </c>
      <c r="K174" s="168">
        <f>333+83</f>
        <v>416</v>
      </c>
      <c r="L174" s="159"/>
      <c r="M174" s="159"/>
      <c r="N174" s="159">
        <f>SUM(J174:M174)</f>
        <v>34399</v>
      </c>
      <c r="O174" s="170">
        <v>0</v>
      </c>
    </row>
    <row r="175" spans="1:15" ht="12.75" customHeight="1">
      <c r="A175" s="332">
        <v>17</v>
      </c>
      <c r="B175" s="1108"/>
      <c r="C175" s="82" t="s">
        <v>285</v>
      </c>
      <c r="D175" s="145"/>
      <c r="E175" s="145"/>
      <c r="F175" s="145"/>
      <c r="G175" s="145"/>
      <c r="H175" s="145"/>
      <c r="I175" s="145"/>
      <c r="J175" s="154"/>
      <c r="K175" s="155"/>
      <c r="L175" s="145"/>
      <c r="M175" s="145"/>
      <c r="N175" s="145"/>
      <c r="O175" s="115"/>
    </row>
    <row r="176" spans="1:15" ht="12.75" customHeight="1">
      <c r="A176" s="344"/>
      <c r="B176" s="335"/>
      <c r="C176" s="67" t="s">
        <v>434</v>
      </c>
      <c r="D176" s="130"/>
      <c r="E176" s="130"/>
      <c r="F176" s="130"/>
      <c r="G176" s="130"/>
      <c r="H176" s="130"/>
      <c r="I176" s="130"/>
      <c r="J176" s="131"/>
      <c r="K176" s="132"/>
      <c r="L176" s="130"/>
      <c r="M176" s="130">
        <v>22600</v>
      </c>
      <c r="N176" s="130">
        <f>SUM(J176:M176)</f>
        <v>22600</v>
      </c>
      <c r="O176" s="119"/>
    </row>
    <row r="177" spans="1:15" ht="12.75" customHeight="1">
      <c r="A177" s="344"/>
      <c r="B177" s="335"/>
      <c r="C177" s="67" t="s">
        <v>435</v>
      </c>
      <c r="D177" s="145"/>
      <c r="E177" s="145"/>
      <c r="F177" s="145"/>
      <c r="G177" s="145"/>
      <c r="H177" s="145"/>
      <c r="I177" s="145"/>
      <c r="J177" s="131"/>
      <c r="K177" s="155"/>
      <c r="L177" s="145"/>
      <c r="M177" s="145">
        <v>13684</v>
      </c>
      <c r="N177" s="130">
        <f>SUM(J177:M177)</f>
        <v>13684</v>
      </c>
      <c r="O177" s="115"/>
    </row>
    <row r="178" spans="1:15" ht="16.5" customHeight="1" thickBot="1">
      <c r="A178" s="851"/>
      <c r="B178" s="1105"/>
      <c r="C178" s="81" t="s">
        <v>436</v>
      </c>
      <c r="D178" s="159"/>
      <c r="E178" s="159"/>
      <c r="F178" s="159">
        <v>0</v>
      </c>
      <c r="G178" s="159"/>
      <c r="H178" s="159"/>
      <c r="I178" s="159"/>
      <c r="J178" s="167"/>
      <c r="K178" s="168"/>
      <c r="L178" s="159"/>
      <c r="M178" s="159">
        <v>0</v>
      </c>
      <c r="N178" s="159">
        <f>SUM(D178:M178)</f>
        <v>0</v>
      </c>
      <c r="O178" s="153"/>
    </row>
    <row r="179" spans="1:15" ht="12.75" customHeight="1">
      <c r="A179" s="332">
        <v>18</v>
      </c>
      <c r="B179" s="73"/>
      <c r="C179" s="73" t="s">
        <v>286</v>
      </c>
      <c r="D179" s="145"/>
      <c r="E179" s="145"/>
      <c r="F179" s="145"/>
      <c r="G179" s="145"/>
      <c r="H179" s="145"/>
      <c r="I179" s="145"/>
      <c r="J179" s="154"/>
      <c r="K179" s="155"/>
      <c r="L179" s="145"/>
      <c r="M179" s="145"/>
      <c r="N179" s="145"/>
      <c r="O179" s="115"/>
    </row>
    <row r="180" spans="1:15" ht="14.25" customHeight="1">
      <c r="A180" s="344"/>
      <c r="B180" s="174"/>
      <c r="C180" s="67" t="s">
        <v>434</v>
      </c>
      <c r="D180" s="145"/>
      <c r="E180" s="145"/>
      <c r="F180" s="145">
        <v>8030</v>
      </c>
      <c r="G180" s="145"/>
      <c r="H180" s="145"/>
      <c r="I180" s="145"/>
      <c r="J180" s="131">
        <f>SUM(D180:H180)</f>
        <v>8030</v>
      </c>
      <c r="K180" s="155">
        <v>600</v>
      </c>
      <c r="L180" s="145"/>
      <c r="M180" s="145"/>
      <c r="N180" s="145">
        <f>SUM(J180:M180)</f>
        <v>8630</v>
      </c>
      <c r="O180" s="115"/>
    </row>
    <row r="181" spans="1:15" ht="15" customHeight="1">
      <c r="A181" s="344"/>
      <c r="B181" s="174"/>
      <c r="C181" s="67" t="s">
        <v>435</v>
      </c>
      <c r="D181" s="145"/>
      <c r="E181" s="145"/>
      <c r="F181" s="145">
        <v>8214</v>
      </c>
      <c r="G181" s="145"/>
      <c r="H181" s="145"/>
      <c r="I181" s="145"/>
      <c r="J181" s="131">
        <f>SUM(D181:H181)</f>
        <v>8214</v>
      </c>
      <c r="K181" s="155">
        <v>3184</v>
      </c>
      <c r="L181" s="145"/>
      <c r="M181" s="145"/>
      <c r="N181" s="145">
        <f>SUM(J181:M181)</f>
        <v>11398</v>
      </c>
      <c r="O181" s="115"/>
    </row>
    <row r="182" spans="1:15" ht="15" customHeight="1" thickBot="1">
      <c r="A182" s="851"/>
      <c r="B182" s="1109"/>
      <c r="C182" s="81" t="s">
        <v>436</v>
      </c>
      <c r="D182" s="159"/>
      <c r="E182" s="159"/>
      <c r="F182" s="159">
        <f>1921+444+105</f>
        <v>2470</v>
      </c>
      <c r="G182" s="159"/>
      <c r="H182" s="159"/>
      <c r="I182" s="159"/>
      <c r="J182" s="167">
        <f>SUM(D182:H182)</f>
        <v>2470</v>
      </c>
      <c r="K182" s="168">
        <f>1592+304</f>
        <v>1896</v>
      </c>
      <c r="L182" s="159"/>
      <c r="M182" s="159"/>
      <c r="N182" s="159">
        <f>SUM(J182:M182)</f>
        <v>4366</v>
      </c>
      <c r="O182" s="153"/>
    </row>
    <row r="183" spans="1:15" ht="12.75" customHeight="1">
      <c r="A183" s="332">
        <v>19</v>
      </c>
      <c r="B183" s="1108"/>
      <c r="C183" s="73" t="s">
        <v>288</v>
      </c>
      <c r="D183" s="145"/>
      <c r="E183" s="145"/>
      <c r="F183" s="145"/>
      <c r="G183" s="145"/>
      <c r="H183" s="145"/>
      <c r="I183" s="145"/>
      <c r="J183" s="154"/>
      <c r="K183" s="155"/>
      <c r="L183" s="145"/>
      <c r="M183" s="145"/>
      <c r="N183" s="145"/>
      <c r="O183" s="169"/>
    </row>
    <row r="184" spans="1:15" ht="12.75" customHeight="1">
      <c r="A184" s="344"/>
      <c r="B184" s="335"/>
      <c r="C184" s="67" t="s">
        <v>434</v>
      </c>
      <c r="D184" s="130">
        <f aca="true" t="shared" si="15" ref="D184:I184">D188+D192+D196+D200+D204+D224+D228+D232+D208+D212+D216+D220</f>
        <v>0</v>
      </c>
      <c r="E184" s="130">
        <f t="shared" si="15"/>
        <v>0</v>
      </c>
      <c r="F184" s="130">
        <f t="shared" si="15"/>
        <v>0</v>
      </c>
      <c r="G184" s="130">
        <f t="shared" si="15"/>
        <v>0</v>
      </c>
      <c r="H184" s="130">
        <f t="shared" si="15"/>
        <v>4965</v>
      </c>
      <c r="I184" s="130">
        <f t="shared" si="15"/>
        <v>0</v>
      </c>
      <c r="J184" s="131">
        <f>SUM(D184:I184)</f>
        <v>4965</v>
      </c>
      <c r="K184" s="130">
        <f aca="true" t="shared" si="16" ref="K184:M186">K188+K192+K196+K200+K204+K224+K228+K232+K208+K212+K216+K220</f>
        <v>0</v>
      </c>
      <c r="L184" s="130">
        <f t="shared" si="16"/>
        <v>0</v>
      </c>
      <c r="M184" s="130">
        <f t="shared" si="16"/>
        <v>0</v>
      </c>
      <c r="N184" s="130">
        <f>SUM(J184:M184)</f>
        <v>4965</v>
      </c>
      <c r="O184" s="133"/>
    </row>
    <row r="185" spans="1:15" ht="12.75" customHeight="1">
      <c r="A185" s="344"/>
      <c r="B185" s="335"/>
      <c r="C185" s="67" t="s">
        <v>435</v>
      </c>
      <c r="D185" s="130">
        <f aca="true" t="shared" si="17" ref="D185:I186">D189+D193+D197+D201+D205+D225+D229+D233+D209+D213+D217+D221</f>
        <v>0</v>
      </c>
      <c r="E185" s="130">
        <f t="shared" si="17"/>
        <v>0</v>
      </c>
      <c r="F185" s="130">
        <f t="shared" si="17"/>
        <v>877</v>
      </c>
      <c r="G185" s="130">
        <f t="shared" si="17"/>
        <v>0</v>
      </c>
      <c r="H185" s="130">
        <f t="shared" si="17"/>
        <v>5115</v>
      </c>
      <c r="I185" s="130">
        <f t="shared" si="17"/>
        <v>5625</v>
      </c>
      <c r="J185" s="131">
        <f>SUM(D185:I185)</f>
        <v>11617</v>
      </c>
      <c r="K185" s="130">
        <f t="shared" si="16"/>
        <v>13913</v>
      </c>
      <c r="L185" s="130">
        <f t="shared" si="16"/>
        <v>2203</v>
      </c>
      <c r="M185" s="130">
        <f t="shared" si="16"/>
        <v>0</v>
      </c>
      <c r="N185" s="130">
        <f>SUM(J185:M185)</f>
        <v>27733</v>
      </c>
      <c r="O185" s="133"/>
    </row>
    <row r="186" spans="1:15" ht="12.75" customHeight="1">
      <c r="A186" s="344"/>
      <c r="B186" s="335"/>
      <c r="C186" s="67" t="s">
        <v>436</v>
      </c>
      <c r="D186" s="130">
        <f t="shared" si="17"/>
        <v>0</v>
      </c>
      <c r="E186" s="130">
        <f t="shared" si="17"/>
        <v>0</v>
      </c>
      <c r="F186" s="130">
        <f t="shared" si="17"/>
        <v>746</v>
      </c>
      <c r="G186" s="130">
        <f t="shared" si="17"/>
        <v>0</v>
      </c>
      <c r="H186" s="130">
        <f>H190+H194+H198+H202+H206+H226+H230+H234+H210+H214+H218+H222</f>
        <v>4115</v>
      </c>
      <c r="I186" s="130">
        <f t="shared" si="17"/>
        <v>5498</v>
      </c>
      <c r="J186" s="131">
        <f>SUM(D186:I186)</f>
        <v>10359</v>
      </c>
      <c r="K186" s="130">
        <f t="shared" si="16"/>
        <v>2192</v>
      </c>
      <c r="L186" s="130">
        <f t="shared" si="16"/>
        <v>0</v>
      </c>
      <c r="M186" s="130">
        <f t="shared" si="16"/>
        <v>0</v>
      </c>
      <c r="N186" s="130">
        <f>SUM(J186:M186)</f>
        <v>12551</v>
      </c>
      <c r="O186" s="133"/>
    </row>
    <row r="187" spans="1:15" ht="12.75" customHeight="1">
      <c r="A187" s="344"/>
      <c r="B187" s="335">
        <v>1</v>
      </c>
      <c r="C187" s="64" t="s">
        <v>729</v>
      </c>
      <c r="D187" s="130"/>
      <c r="E187" s="130"/>
      <c r="F187" s="130"/>
      <c r="G187" s="130"/>
      <c r="H187" s="130"/>
      <c r="I187" s="130"/>
      <c r="J187" s="131"/>
      <c r="K187" s="132"/>
      <c r="L187" s="132"/>
      <c r="M187" s="132"/>
      <c r="N187" s="130"/>
      <c r="O187" s="133"/>
    </row>
    <row r="188" spans="1:15" ht="12.75" customHeight="1">
      <c r="A188" s="344"/>
      <c r="B188" s="335"/>
      <c r="C188" s="64" t="s">
        <v>434</v>
      </c>
      <c r="D188" s="130"/>
      <c r="E188" s="130"/>
      <c r="F188" s="130"/>
      <c r="G188" s="130"/>
      <c r="H188" s="117">
        <v>2065</v>
      </c>
      <c r="I188" s="117"/>
      <c r="J188" s="149">
        <f>SUM(D188:I188)</f>
        <v>2065</v>
      </c>
      <c r="K188" s="132"/>
      <c r="L188" s="132"/>
      <c r="M188" s="132"/>
      <c r="N188" s="117">
        <f>SUM(J188:M188)</f>
        <v>2065</v>
      </c>
      <c r="O188" s="133"/>
    </row>
    <row r="189" spans="1:15" ht="12.75" customHeight="1">
      <c r="A189" s="344"/>
      <c r="B189" s="335"/>
      <c r="C189" s="64" t="s">
        <v>435</v>
      </c>
      <c r="D189" s="130"/>
      <c r="E189" s="130"/>
      <c r="F189" s="130"/>
      <c r="G189" s="130"/>
      <c r="H189" s="117">
        <v>2065</v>
      </c>
      <c r="I189" s="117"/>
      <c r="J189" s="149">
        <f>SUM(D189:I189)</f>
        <v>2065</v>
      </c>
      <c r="K189" s="132"/>
      <c r="L189" s="132"/>
      <c r="M189" s="132"/>
      <c r="N189" s="117">
        <f>SUM(J189:M189)</f>
        <v>2065</v>
      </c>
      <c r="O189" s="133"/>
    </row>
    <row r="190" spans="1:15" ht="12.75" customHeight="1">
      <c r="A190" s="344"/>
      <c r="B190" s="335"/>
      <c r="C190" s="64" t="s">
        <v>436</v>
      </c>
      <c r="D190" s="130"/>
      <c r="E190" s="130"/>
      <c r="F190" s="130"/>
      <c r="G190" s="130"/>
      <c r="H190" s="117">
        <v>2065</v>
      </c>
      <c r="I190" s="117"/>
      <c r="J190" s="149">
        <f>SUM(D190:I190)</f>
        <v>2065</v>
      </c>
      <c r="K190" s="132"/>
      <c r="L190" s="132"/>
      <c r="M190" s="132"/>
      <c r="N190" s="117">
        <f>SUM(J190:M190)</f>
        <v>2065</v>
      </c>
      <c r="O190" s="133"/>
    </row>
    <row r="191" spans="1:15" ht="12.75" customHeight="1">
      <c r="A191" s="344"/>
      <c r="B191" s="335">
        <v>2</v>
      </c>
      <c r="C191" s="70" t="s">
        <v>369</v>
      </c>
      <c r="D191" s="117"/>
      <c r="E191" s="117"/>
      <c r="F191" s="117"/>
      <c r="G191" s="117"/>
      <c r="H191" s="117"/>
      <c r="I191" s="117"/>
      <c r="J191" s="149"/>
      <c r="K191" s="118"/>
      <c r="L191" s="117"/>
      <c r="M191" s="117"/>
      <c r="N191" s="117"/>
      <c r="O191" s="133"/>
    </row>
    <row r="192" spans="1:15" ht="12.75" customHeight="1">
      <c r="A192" s="344"/>
      <c r="B192" s="335"/>
      <c r="C192" s="64" t="s">
        <v>434</v>
      </c>
      <c r="D192" s="117"/>
      <c r="E192" s="117"/>
      <c r="F192" s="117"/>
      <c r="G192" s="117"/>
      <c r="H192" s="117">
        <v>500</v>
      </c>
      <c r="I192" s="117"/>
      <c r="J192" s="149">
        <f>SUM(D192:H192)</f>
        <v>500</v>
      </c>
      <c r="K192" s="118"/>
      <c r="L192" s="117"/>
      <c r="M192" s="117"/>
      <c r="N192" s="117">
        <f>SUM(J192:M192)</f>
        <v>500</v>
      </c>
      <c r="O192" s="133"/>
    </row>
    <row r="193" spans="1:15" ht="12.75" customHeight="1">
      <c r="A193" s="344"/>
      <c r="B193" s="335"/>
      <c r="C193" s="64" t="s">
        <v>435</v>
      </c>
      <c r="D193" s="117"/>
      <c r="E193" s="117"/>
      <c r="F193" s="117"/>
      <c r="G193" s="117"/>
      <c r="H193" s="117">
        <v>500</v>
      </c>
      <c r="I193" s="117"/>
      <c r="J193" s="149">
        <f>SUM(D193:H193)</f>
        <v>500</v>
      </c>
      <c r="K193" s="118"/>
      <c r="L193" s="117"/>
      <c r="M193" s="117"/>
      <c r="N193" s="117">
        <f>SUM(J193:M193)</f>
        <v>500</v>
      </c>
      <c r="O193" s="133"/>
    </row>
    <row r="194" spans="1:15" ht="12.75" customHeight="1">
      <c r="A194" s="344"/>
      <c r="B194" s="335"/>
      <c r="C194" s="64" t="s">
        <v>436</v>
      </c>
      <c r="D194" s="117"/>
      <c r="E194" s="117"/>
      <c r="F194" s="117"/>
      <c r="G194" s="117"/>
      <c r="H194" s="117">
        <v>500</v>
      </c>
      <c r="I194" s="117"/>
      <c r="J194" s="149">
        <f>SUM(D194:H194)</f>
        <v>500</v>
      </c>
      <c r="K194" s="118"/>
      <c r="L194" s="117"/>
      <c r="M194" s="117"/>
      <c r="N194" s="117">
        <f>SUM(J194:M194)</f>
        <v>500</v>
      </c>
      <c r="O194" s="133"/>
    </row>
    <row r="195" spans="1:15" ht="12.75" customHeight="1">
      <c r="A195" s="344"/>
      <c r="B195" s="335">
        <v>3</v>
      </c>
      <c r="C195" s="76" t="s">
        <v>370</v>
      </c>
      <c r="D195" s="117"/>
      <c r="E195" s="117"/>
      <c r="F195" s="117"/>
      <c r="G195" s="117"/>
      <c r="H195" s="117"/>
      <c r="I195" s="117"/>
      <c r="J195" s="149"/>
      <c r="K195" s="118"/>
      <c r="L195" s="116"/>
      <c r="M195" s="116"/>
      <c r="N195" s="117"/>
      <c r="O195" s="133"/>
    </row>
    <row r="196" spans="1:15" ht="12.75" customHeight="1">
      <c r="A196" s="344"/>
      <c r="B196" s="335"/>
      <c r="C196" s="64" t="s">
        <v>434</v>
      </c>
      <c r="D196" s="117"/>
      <c r="E196" s="117"/>
      <c r="F196" s="117"/>
      <c r="G196" s="117"/>
      <c r="H196" s="117">
        <v>500</v>
      </c>
      <c r="I196" s="117"/>
      <c r="J196" s="149">
        <f>SUM(D196:H196)</f>
        <v>500</v>
      </c>
      <c r="K196" s="118"/>
      <c r="L196" s="116"/>
      <c r="M196" s="116"/>
      <c r="N196" s="117">
        <f>SUM(J196:L196)</f>
        <v>500</v>
      </c>
      <c r="O196" s="133"/>
    </row>
    <row r="197" spans="1:15" ht="12.75" customHeight="1">
      <c r="A197" s="344"/>
      <c r="B197" s="335"/>
      <c r="C197" s="64" t="s">
        <v>435</v>
      </c>
      <c r="D197" s="117"/>
      <c r="E197" s="117"/>
      <c r="F197" s="117"/>
      <c r="G197" s="117"/>
      <c r="H197" s="117">
        <v>500</v>
      </c>
      <c r="I197" s="117"/>
      <c r="J197" s="149">
        <f>SUM(D197:H197)</f>
        <v>500</v>
      </c>
      <c r="K197" s="118"/>
      <c r="L197" s="116"/>
      <c r="M197" s="116"/>
      <c r="N197" s="117">
        <f>SUM(J197:L197)</f>
        <v>500</v>
      </c>
      <c r="O197" s="133"/>
    </row>
    <row r="198" spans="1:15" ht="12.75" customHeight="1">
      <c r="A198" s="344"/>
      <c r="B198" s="335"/>
      <c r="C198" s="64" t="s">
        <v>436</v>
      </c>
      <c r="D198" s="117"/>
      <c r="E198" s="117"/>
      <c r="F198" s="117"/>
      <c r="G198" s="117"/>
      <c r="H198" s="117">
        <v>0</v>
      </c>
      <c r="I198" s="117"/>
      <c r="J198" s="149">
        <f>SUM(D198:H198)</f>
        <v>0</v>
      </c>
      <c r="K198" s="118"/>
      <c r="L198" s="116"/>
      <c r="M198" s="116"/>
      <c r="N198" s="117">
        <f>SUM(J198:L198)</f>
        <v>0</v>
      </c>
      <c r="O198" s="133"/>
    </row>
    <row r="199" spans="1:15" ht="12.75" customHeight="1">
      <c r="A199" s="344"/>
      <c r="B199" s="335">
        <v>4</v>
      </c>
      <c r="C199" s="76" t="s">
        <v>371</v>
      </c>
      <c r="D199" s="117"/>
      <c r="E199" s="117"/>
      <c r="F199" s="117"/>
      <c r="G199" s="117"/>
      <c r="H199" s="117"/>
      <c r="I199" s="117"/>
      <c r="J199" s="149"/>
      <c r="K199" s="118"/>
      <c r="L199" s="116"/>
      <c r="M199" s="116"/>
      <c r="N199" s="117"/>
      <c r="O199" s="133"/>
    </row>
    <row r="200" spans="1:15" ht="12.75" customHeight="1">
      <c r="A200" s="344"/>
      <c r="B200" s="335"/>
      <c r="C200" s="64" t="s">
        <v>434</v>
      </c>
      <c r="D200" s="117"/>
      <c r="E200" s="117"/>
      <c r="F200" s="117"/>
      <c r="G200" s="117"/>
      <c r="H200" s="117">
        <v>500</v>
      </c>
      <c r="I200" s="117"/>
      <c r="J200" s="149">
        <f>SUM(D200:H200)</f>
        <v>500</v>
      </c>
      <c r="K200" s="118"/>
      <c r="L200" s="116"/>
      <c r="M200" s="116"/>
      <c r="N200" s="117">
        <f>SUM(J200:L200)</f>
        <v>500</v>
      </c>
      <c r="O200" s="133"/>
    </row>
    <row r="201" spans="1:15" ht="12.75" customHeight="1">
      <c r="A201" s="344"/>
      <c r="B201" s="335"/>
      <c r="C201" s="64" t="s">
        <v>435</v>
      </c>
      <c r="D201" s="117"/>
      <c r="E201" s="117"/>
      <c r="F201" s="117"/>
      <c r="G201" s="117"/>
      <c r="H201" s="117">
        <v>500</v>
      </c>
      <c r="I201" s="117"/>
      <c r="J201" s="149">
        <f>SUM(D201:H201)</f>
        <v>500</v>
      </c>
      <c r="K201" s="118"/>
      <c r="L201" s="116"/>
      <c r="M201" s="116"/>
      <c r="N201" s="117">
        <f>SUM(J201:L201)</f>
        <v>500</v>
      </c>
      <c r="O201" s="133"/>
    </row>
    <row r="202" spans="1:15" ht="12.75" customHeight="1">
      <c r="A202" s="344"/>
      <c r="B202" s="335"/>
      <c r="C202" s="64" t="s">
        <v>436</v>
      </c>
      <c r="D202" s="117"/>
      <c r="E202" s="117"/>
      <c r="F202" s="117"/>
      <c r="G202" s="117"/>
      <c r="H202" s="117">
        <v>0</v>
      </c>
      <c r="I202" s="117"/>
      <c r="J202" s="149">
        <f>SUM(D202:H202)</f>
        <v>0</v>
      </c>
      <c r="K202" s="118"/>
      <c r="L202" s="116"/>
      <c r="M202" s="116"/>
      <c r="N202" s="117">
        <f>SUM(J202:L202)</f>
        <v>0</v>
      </c>
      <c r="O202" s="133"/>
    </row>
    <row r="203" spans="1:15" ht="12.75" customHeight="1">
      <c r="A203" s="344"/>
      <c r="B203" s="335">
        <v>5</v>
      </c>
      <c r="C203" s="76" t="s">
        <v>372</v>
      </c>
      <c r="D203" s="117"/>
      <c r="E203" s="117"/>
      <c r="F203" s="117"/>
      <c r="G203" s="117"/>
      <c r="H203" s="117"/>
      <c r="I203" s="117"/>
      <c r="J203" s="149"/>
      <c r="K203" s="118"/>
      <c r="L203" s="116"/>
      <c r="M203" s="116"/>
      <c r="N203" s="117"/>
      <c r="O203" s="133"/>
    </row>
    <row r="204" spans="1:15" ht="12.75" customHeight="1">
      <c r="A204" s="344"/>
      <c r="B204" s="335"/>
      <c r="C204" s="64" t="s">
        <v>434</v>
      </c>
      <c r="D204" s="117"/>
      <c r="E204" s="117"/>
      <c r="F204" s="117"/>
      <c r="G204" s="117"/>
      <c r="H204" s="117">
        <v>1000</v>
      </c>
      <c r="I204" s="117"/>
      <c r="J204" s="149">
        <f>SUM(D204:H204)</f>
        <v>1000</v>
      </c>
      <c r="K204" s="118"/>
      <c r="L204" s="116">
        <v>0</v>
      </c>
      <c r="M204" s="116"/>
      <c r="N204" s="117">
        <f>SUM(J204:L204)</f>
        <v>1000</v>
      </c>
      <c r="O204" s="133"/>
    </row>
    <row r="205" spans="1:15" ht="12.75" customHeight="1">
      <c r="A205" s="344"/>
      <c r="B205" s="335"/>
      <c r="C205" s="64" t="s">
        <v>435</v>
      </c>
      <c r="D205" s="117"/>
      <c r="E205" s="117"/>
      <c r="F205" s="117"/>
      <c r="G205" s="117"/>
      <c r="H205" s="117">
        <v>1000</v>
      </c>
      <c r="I205" s="117"/>
      <c r="J205" s="149">
        <f>SUM(D205:H205)</f>
        <v>1000</v>
      </c>
      <c r="K205" s="118"/>
      <c r="L205" s="116">
        <v>0</v>
      </c>
      <c r="M205" s="116"/>
      <c r="N205" s="117">
        <f>SUM(J205:L205)</f>
        <v>1000</v>
      </c>
      <c r="O205" s="133"/>
    </row>
    <row r="206" spans="1:15" ht="12.75" customHeight="1">
      <c r="A206" s="344"/>
      <c r="B206" s="335"/>
      <c r="C206" s="64" t="s">
        <v>436</v>
      </c>
      <c r="D206" s="117"/>
      <c r="E206" s="117"/>
      <c r="F206" s="117"/>
      <c r="G206" s="117"/>
      <c r="H206" s="117">
        <v>1000</v>
      </c>
      <c r="I206" s="117"/>
      <c r="J206" s="149">
        <f>SUM(D206:H206)</f>
        <v>1000</v>
      </c>
      <c r="K206" s="118"/>
      <c r="L206" s="116">
        <v>0</v>
      </c>
      <c r="M206" s="116"/>
      <c r="N206" s="117">
        <f>SUM(J206:L206)</f>
        <v>1000</v>
      </c>
      <c r="O206" s="133"/>
    </row>
    <row r="207" spans="1:15" ht="12.75" customHeight="1">
      <c r="A207" s="344"/>
      <c r="B207" s="335">
        <v>6</v>
      </c>
      <c r="C207" s="75" t="s">
        <v>433</v>
      </c>
      <c r="D207" s="117"/>
      <c r="E207" s="117"/>
      <c r="F207" s="117"/>
      <c r="G207" s="117"/>
      <c r="H207" s="117"/>
      <c r="I207" s="117"/>
      <c r="J207" s="149"/>
      <c r="K207" s="118"/>
      <c r="L207" s="116"/>
      <c r="M207" s="116"/>
      <c r="N207" s="117"/>
      <c r="O207" s="133"/>
    </row>
    <row r="208" spans="1:15" ht="12.75" customHeight="1">
      <c r="A208" s="344"/>
      <c r="B208" s="335"/>
      <c r="C208" s="64" t="s">
        <v>434</v>
      </c>
      <c r="D208" s="117"/>
      <c r="E208" s="117"/>
      <c r="F208" s="117"/>
      <c r="G208" s="117"/>
      <c r="H208" s="117">
        <v>400</v>
      </c>
      <c r="I208" s="117"/>
      <c r="J208" s="149">
        <f>SUM(D208:I208)</f>
        <v>400</v>
      </c>
      <c r="K208" s="118"/>
      <c r="L208" s="116"/>
      <c r="M208" s="116"/>
      <c r="N208" s="117">
        <f>SUM(J208:M208)</f>
        <v>400</v>
      </c>
      <c r="O208" s="133"/>
    </row>
    <row r="209" spans="1:15" ht="12.75" customHeight="1">
      <c r="A209" s="344"/>
      <c r="B209" s="335"/>
      <c r="C209" s="64" t="s">
        <v>435</v>
      </c>
      <c r="D209" s="117"/>
      <c r="E209" s="117"/>
      <c r="F209" s="117"/>
      <c r="G209" s="117"/>
      <c r="H209" s="117">
        <v>450</v>
      </c>
      <c r="I209" s="117"/>
      <c r="J209" s="149">
        <f>SUM(D209:I209)</f>
        <v>450</v>
      </c>
      <c r="K209" s="118"/>
      <c r="L209" s="116"/>
      <c r="M209" s="116"/>
      <c r="N209" s="117">
        <f>SUM(J209:M209)</f>
        <v>450</v>
      </c>
      <c r="O209" s="133"/>
    </row>
    <row r="210" spans="1:15" ht="12.75" customHeight="1">
      <c r="A210" s="344"/>
      <c r="B210" s="335"/>
      <c r="C210" s="64" t="s">
        <v>436</v>
      </c>
      <c r="D210" s="117"/>
      <c r="E210" s="117"/>
      <c r="F210" s="117"/>
      <c r="G210" s="117"/>
      <c r="H210" s="117">
        <v>450</v>
      </c>
      <c r="I210" s="117"/>
      <c r="J210" s="149">
        <f>SUM(D210:I210)</f>
        <v>450</v>
      </c>
      <c r="K210" s="118"/>
      <c r="L210" s="116"/>
      <c r="M210" s="116"/>
      <c r="N210" s="117">
        <f>SUM(J210:M210)</f>
        <v>450</v>
      </c>
      <c r="O210" s="133"/>
    </row>
    <row r="211" spans="1:15" ht="12.75" customHeight="1">
      <c r="A211" s="344"/>
      <c r="B211" s="335">
        <v>7</v>
      </c>
      <c r="C211" s="64" t="s">
        <v>728</v>
      </c>
      <c r="D211" s="117"/>
      <c r="E211" s="117"/>
      <c r="F211" s="117"/>
      <c r="G211" s="117"/>
      <c r="H211" s="117"/>
      <c r="I211" s="117"/>
      <c r="J211" s="149"/>
      <c r="K211" s="118"/>
      <c r="L211" s="116"/>
      <c r="M211" s="116"/>
      <c r="N211" s="117"/>
      <c r="O211" s="133"/>
    </row>
    <row r="212" spans="1:15" ht="12.75" customHeight="1">
      <c r="A212" s="344"/>
      <c r="B212" s="335"/>
      <c r="C212" s="64" t="s">
        <v>434</v>
      </c>
      <c r="D212" s="117"/>
      <c r="E212" s="117"/>
      <c r="F212" s="117">
        <v>0</v>
      </c>
      <c r="G212" s="117"/>
      <c r="H212" s="117"/>
      <c r="I212" s="117"/>
      <c r="J212" s="149">
        <f>SUM(D212:I212)</f>
        <v>0</v>
      </c>
      <c r="K212" s="118"/>
      <c r="L212" s="116"/>
      <c r="M212" s="116"/>
      <c r="N212" s="117">
        <f>SUM(J212:M212)</f>
        <v>0</v>
      </c>
      <c r="O212" s="133"/>
    </row>
    <row r="213" spans="1:15" ht="12.75" customHeight="1">
      <c r="A213" s="344"/>
      <c r="B213" s="335"/>
      <c r="C213" s="64" t="s">
        <v>435</v>
      </c>
      <c r="D213" s="117"/>
      <c r="E213" s="117"/>
      <c r="F213" s="117">
        <v>50</v>
      </c>
      <c r="G213" s="117"/>
      <c r="H213" s="117"/>
      <c r="I213" s="117"/>
      <c r="J213" s="149">
        <f aca="true" t="shared" si="18" ref="J213:J218">SUM(D213:I213)</f>
        <v>50</v>
      </c>
      <c r="K213" s="118"/>
      <c r="L213" s="116"/>
      <c r="M213" s="116"/>
      <c r="N213" s="117">
        <f aca="true" t="shared" si="19" ref="N213:N218">SUM(J213:M213)</f>
        <v>50</v>
      </c>
      <c r="O213" s="133"/>
    </row>
    <row r="214" spans="1:15" ht="12.75" customHeight="1">
      <c r="A214" s="344"/>
      <c r="B214" s="335"/>
      <c r="C214" s="64" t="s">
        <v>436</v>
      </c>
      <c r="D214" s="117"/>
      <c r="E214" s="117"/>
      <c r="F214" s="117">
        <v>0</v>
      </c>
      <c r="G214" s="117"/>
      <c r="H214" s="117"/>
      <c r="I214" s="117"/>
      <c r="J214" s="149">
        <f t="shared" si="18"/>
        <v>0</v>
      </c>
      <c r="K214" s="118"/>
      <c r="L214" s="116"/>
      <c r="M214" s="116"/>
      <c r="N214" s="117">
        <f t="shared" si="19"/>
        <v>0</v>
      </c>
      <c r="O214" s="133"/>
    </row>
    <row r="215" spans="1:15" ht="12.75" customHeight="1">
      <c r="A215" s="344"/>
      <c r="B215" s="335">
        <v>8</v>
      </c>
      <c r="C215" s="905" t="s">
        <v>635</v>
      </c>
      <c r="D215" s="117"/>
      <c r="E215" s="117"/>
      <c r="F215" s="117"/>
      <c r="G215" s="117"/>
      <c r="H215" s="117"/>
      <c r="I215" s="117"/>
      <c r="J215" s="149"/>
      <c r="K215" s="118"/>
      <c r="L215" s="116"/>
      <c r="M215" s="116"/>
      <c r="N215" s="117"/>
      <c r="O215" s="133"/>
    </row>
    <row r="216" spans="1:15" ht="12.75" customHeight="1">
      <c r="A216" s="344"/>
      <c r="B216" s="335"/>
      <c r="C216" s="64" t="s">
        <v>434</v>
      </c>
      <c r="D216" s="117"/>
      <c r="E216" s="117"/>
      <c r="F216" s="117">
        <v>0</v>
      </c>
      <c r="G216" s="117"/>
      <c r="H216" s="117"/>
      <c r="I216" s="117"/>
      <c r="J216" s="149">
        <f t="shared" si="18"/>
        <v>0</v>
      </c>
      <c r="K216" s="118"/>
      <c r="L216" s="116"/>
      <c r="M216" s="116"/>
      <c r="N216" s="117">
        <f t="shared" si="19"/>
        <v>0</v>
      </c>
      <c r="O216" s="133"/>
    </row>
    <row r="217" spans="1:15" ht="12.75" customHeight="1">
      <c r="A217" s="344"/>
      <c r="B217" s="335"/>
      <c r="C217" s="64" t="s">
        <v>435</v>
      </c>
      <c r="D217" s="117"/>
      <c r="E217" s="117"/>
      <c r="F217" s="117">
        <v>827</v>
      </c>
      <c r="G217" s="117"/>
      <c r="H217" s="117"/>
      <c r="I217" s="117">
        <v>5625</v>
      </c>
      <c r="J217" s="149">
        <f t="shared" si="18"/>
        <v>6452</v>
      </c>
      <c r="K217" s="118">
        <v>1720</v>
      </c>
      <c r="L217" s="116"/>
      <c r="M217" s="116"/>
      <c r="N217" s="117">
        <f t="shared" si="19"/>
        <v>8172</v>
      </c>
      <c r="O217" s="133"/>
    </row>
    <row r="218" spans="1:15" ht="12.75" customHeight="1">
      <c r="A218" s="344"/>
      <c r="B218" s="335"/>
      <c r="C218" s="64" t="s">
        <v>436</v>
      </c>
      <c r="D218" s="117"/>
      <c r="E218" s="117"/>
      <c r="F218" s="117">
        <f>596+149+1</f>
        <v>746</v>
      </c>
      <c r="G218" s="117"/>
      <c r="H218" s="117"/>
      <c r="I218" s="117">
        <f>4012+1486</f>
        <v>5498</v>
      </c>
      <c r="J218" s="149">
        <f t="shared" si="18"/>
        <v>6244</v>
      </c>
      <c r="K218" s="118"/>
      <c r="L218" s="116"/>
      <c r="M218" s="116"/>
      <c r="N218" s="117">
        <f t="shared" si="19"/>
        <v>6244</v>
      </c>
      <c r="O218" s="133"/>
    </row>
    <row r="219" spans="1:15" ht="12.75" customHeight="1">
      <c r="A219" s="344"/>
      <c r="B219" s="335">
        <v>9</v>
      </c>
      <c r="C219" s="64" t="s">
        <v>730</v>
      </c>
      <c r="D219" s="117"/>
      <c r="E219" s="117"/>
      <c r="F219" s="117"/>
      <c r="G219" s="117"/>
      <c r="H219" s="117"/>
      <c r="I219" s="117"/>
      <c r="J219" s="149"/>
      <c r="K219" s="118"/>
      <c r="L219" s="116"/>
      <c r="M219" s="116"/>
      <c r="N219" s="117"/>
      <c r="O219" s="133"/>
    </row>
    <row r="220" spans="1:15" ht="12.75" customHeight="1">
      <c r="A220" s="344"/>
      <c r="B220" s="335"/>
      <c r="C220" s="64" t="s">
        <v>434</v>
      </c>
      <c r="D220" s="117"/>
      <c r="E220" s="117"/>
      <c r="F220" s="117"/>
      <c r="G220" s="117"/>
      <c r="H220" s="117">
        <v>0</v>
      </c>
      <c r="I220" s="117"/>
      <c r="J220" s="149">
        <f>H220</f>
        <v>0</v>
      </c>
      <c r="K220" s="118"/>
      <c r="L220" s="116"/>
      <c r="M220" s="116"/>
      <c r="N220" s="117">
        <f>J220</f>
        <v>0</v>
      </c>
      <c r="O220" s="133"/>
    </row>
    <row r="221" spans="1:15" ht="12.75" customHeight="1">
      <c r="A221" s="344"/>
      <c r="B221" s="335"/>
      <c r="C221" s="64" t="s">
        <v>435</v>
      </c>
      <c r="D221" s="117"/>
      <c r="E221" s="117"/>
      <c r="F221" s="117"/>
      <c r="G221" s="117"/>
      <c r="H221" s="117">
        <v>100</v>
      </c>
      <c r="I221" s="117"/>
      <c r="J221" s="149">
        <f>H221</f>
        <v>100</v>
      </c>
      <c r="K221" s="118"/>
      <c r="L221" s="116"/>
      <c r="M221" s="116"/>
      <c r="N221" s="117">
        <f>J221</f>
        <v>100</v>
      </c>
      <c r="O221" s="133"/>
    </row>
    <row r="222" spans="1:15" ht="12.75" customHeight="1">
      <c r="A222" s="344"/>
      <c r="B222" s="335"/>
      <c r="C222" s="64" t="s">
        <v>436</v>
      </c>
      <c r="D222" s="117"/>
      <c r="E222" s="117"/>
      <c r="F222" s="117"/>
      <c r="G222" s="117"/>
      <c r="H222" s="117">
        <v>100</v>
      </c>
      <c r="I222" s="117"/>
      <c r="J222" s="149">
        <f>H222</f>
        <v>100</v>
      </c>
      <c r="K222" s="118"/>
      <c r="L222" s="116"/>
      <c r="M222" s="116"/>
      <c r="N222" s="117">
        <f>J222</f>
        <v>100</v>
      </c>
      <c r="O222" s="133"/>
    </row>
    <row r="223" spans="1:15" ht="12.75" customHeight="1">
      <c r="A223" s="344"/>
      <c r="B223" s="335">
        <v>10</v>
      </c>
      <c r="C223" s="905" t="s">
        <v>731</v>
      </c>
      <c r="D223" s="117"/>
      <c r="E223" s="117"/>
      <c r="F223" s="117"/>
      <c r="G223" s="117"/>
      <c r="H223" s="117"/>
      <c r="I223" s="117"/>
      <c r="J223" s="149"/>
      <c r="K223" s="118"/>
      <c r="L223" s="116"/>
      <c r="M223" s="116"/>
      <c r="N223" s="117"/>
      <c r="O223" s="133"/>
    </row>
    <row r="224" spans="1:15" ht="12.75" customHeight="1">
      <c r="A224" s="344"/>
      <c r="B224" s="335"/>
      <c r="C224" s="64" t="s">
        <v>434</v>
      </c>
      <c r="D224" s="117"/>
      <c r="E224" s="117"/>
      <c r="F224" s="117"/>
      <c r="G224" s="117"/>
      <c r="H224" s="117">
        <v>0</v>
      </c>
      <c r="I224" s="117"/>
      <c r="J224" s="149">
        <f>SUM(D224:H224)</f>
        <v>0</v>
      </c>
      <c r="K224" s="118">
        <v>0</v>
      </c>
      <c r="L224" s="116"/>
      <c r="M224" s="116"/>
      <c r="N224" s="117">
        <f>SUM(J224:L224)</f>
        <v>0</v>
      </c>
      <c r="O224" s="133"/>
    </row>
    <row r="225" spans="1:15" ht="12.75" customHeight="1">
      <c r="A225" s="344"/>
      <c r="B225" s="335"/>
      <c r="C225" s="64" t="s">
        <v>435</v>
      </c>
      <c r="D225" s="117"/>
      <c r="E225" s="117"/>
      <c r="F225" s="117"/>
      <c r="G225" s="117"/>
      <c r="H225" s="117">
        <v>0</v>
      </c>
      <c r="I225" s="117"/>
      <c r="J225" s="149">
        <f>SUM(D225:H225)</f>
        <v>0</v>
      </c>
      <c r="K225" s="118">
        <v>1480</v>
      </c>
      <c r="L225" s="116"/>
      <c r="M225" s="116"/>
      <c r="N225" s="117">
        <f>SUM(J225:L225)</f>
        <v>1480</v>
      </c>
      <c r="O225" s="133"/>
    </row>
    <row r="226" spans="1:15" ht="12.75" customHeight="1">
      <c r="A226" s="344"/>
      <c r="B226" s="335"/>
      <c r="C226" s="64" t="s">
        <v>436</v>
      </c>
      <c r="D226" s="117"/>
      <c r="E226" s="117"/>
      <c r="F226" s="117"/>
      <c r="G226" s="117"/>
      <c r="H226" s="117">
        <v>0</v>
      </c>
      <c r="I226" s="117"/>
      <c r="J226" s="149">
        <f>SUM(D226:H226)</f>
        <v>0</v>
      </c>
      <c r="K226" s="118">
        <v>1479</v>
      </c>
      <c r="L226" s="116"/>
      <c r="M226" s="116"/>
      <c r="N226" s="117">
        <f>SUM(J226:L226)</f>
        <v>1479</v>
      </c>
      <c r="O226" s="133"/>
    </row>
    <row r="227" spans="1:15" ht="12.75" customHeight="1">
      <c r="A227" s="344"/>
      <c r="B227" s="335">
        <v>11</v>
      </c>
      <c r="C227" s="65" t="s">
        <v>732</v>
      </c>
      <c r="D227" s="117"/>
      <c r="E227" s="117"/>
      <c r="F227" s="117"/>
      <c r="G227" s="117"/>
      <c r="H227" s="117"/>
      <c r="I227" s="117"/>
      <c r="J227" s="149"/>
      <c r="K227" s="118"/>
      <c r="L227" s="116"/>
      <c r="M227" s="116"/>
      <c r="N227" s="117"/>
      <c r="O227" s="133"/>
    </row>
    <row r="228" spans="1:15" ht="12.75" customHeight="1">
      <c r="A228" s="344"/>
      <c r="B228" s="335"/>
      <c r="C228" s="64" t="s">
        <v>434</v>
      </c>
      <c r="D228" s="117"/>
      <c r="E228" s="117"/>
      <c r="F228" s="117">
        <v>0</v>
      </c>
      <c r="G228" s="117">
        <v>0</v>
      </c>
      <c r="H228" s="117">
        <v>0</v>
      </c>
      <c r="I228" s="117"/>
      <c r="J228" s="149">
        <f>SUM(F228:I228)</f>
        <v>0</v>
      </c>
      <c r="K228" s="118"/>
      <c r="L228" s="116"/>
      <c r="M228" s="116"/>
      <c r="N228" s="117">
        <f>SUM(J228:M228)</f>
        <v>0</v>
      </c>
      <c r="O228" s="133"/>
    </row>
    <row r="229" spans="1:15" ht="12.75" customHeight="1">
      <c r="A229" s="344"/>
      <c r="B229" s="335"/>
      <c r="C229" s="64" t="s">
        <v>435</v>
      </c>
      <c r="D229" s="117"/>
      <c r="E229" s="117"/>
      <c r="F229" s="117">
        <v>0</v>
      </c>
      <c r="G229" s="117"/>
      <c r="H229" s="117">
        <v>0</v>
      </c>
      <c r="I229" s="117"/>
      <c r="J229" s="149">
        <f>SUM(F229:I229)</f>
        <v>0</v>
      </c>
      <c r="K229" s="118">
        <v>10713</v>
      </c>
      <c r="L229" s="116"/>
      <c r="M229" s="116"/>
      <c r="N229" s="117">
        <f>SUM(J229:M229)</f>
        <v>10713</v>
      </c>
      <c r="O229" s="133"/>
    </row>
    <row r="230" spans="1:15" ht="12.75" customHeight="1">
      <c r="A230" s="344"/>
      <c r="B230" s="335"/>
      <c r="C230" s="64" t="s">
        <v>436</v>
      </c>
      <c r="D230" s="117"/>
      <c r="E230" s="117"/>
      <c r="F230" s="117">
        <v>0</v>
      </c>
      <c r="G230" s="117"/>
      <c r="H230" s="117">
        <v>0</v>
      </c>
      <c r="I230" s="117"/>
      <c r="J230" s="149">
        <f>SUM(F230:I230)</f>
        <v>0</v>
      </c>
      <c r="K230" s="118">
        <v>713</v>
      </c>
      <c r="L230" s="116"/>
      <c r="M230" s="116"/>
      <c r="N230" s="117">
        <f>SUM(J230:M230)</f>
        <v>713</v>
      </c>
      <c r="O230" s="133"/>
    </row>
    <row r="231" spans="1:15" ht="12.75" customHeight="1">
      <c r="A231" s="344"/>
      <c r="B231" s="335">
        <v>12</v>
      </c>
      <c r="C231" s="65" t="s">
        <v>733</v>
      </c>
      <c r="D231" s="117"/>
      <c r="E231" s="117"/>
      <c r="F231" s="117"/>
      <c r="G231" s="117"/>
      <c r="H231" s="117"/>
      <c r="I231" s="117"/>
      <c r="J231" s="149"/>
      <c r="K231" s="118"/>
      <c r="L231" s="116"/>
      <c r="M231" s="116"/>
      <c r="N231" s="117"/>
      <c r="O231" s="133"/>
    </row>
    <row r="232" spans="1:15" ht="12.75" customHeight="1">
      <c r="A232" s="344"/>
      <c r="B232" s="335"/>
      <c r="C232" s="64" t="s">
        <v>434</v>
      </c>
      <c r="D232" s="117"/>
      <c r="E232" s="117"/>
      <c r="F232" s="117">
        <v>0</v>
      </c>
      <c r="G232" s="117"/>
      <c r="H232" s="117">
        <v>0</v>
      </c>
      <c r="I232" s="117"/>
      <c r="J232" s="149">
        <f>SUM(D232:I232)</f>
        <v>0</v>
      </c>
      <c r="K232" s="118">
        <v>0</v>
      </c>
      <c r="L232" s="116">
        <v>0</v>
      </c>
      <c r="M232" s="116"/>
      <c r="N232" s="117">
        <f>SUM(J232:M232)</f>
        <v>0</v>
      </c>
      <c r="O232" s="133"/>
    </row>
    <row r="233" spans="1:15" ht="12.75" customHeight="1">
      <c r="A233" s="344"/>
      <c r="B233" s="335"/>
      <c r="C233" s="64" t="s">
        <v>435</v>
      </c>
      <c r="D233" s="117"/>
      <c r="E233" s="117"/>
      <c r="F233" s="117">
        <v>0</v>
      </c>
      <c r="G233" s="117"/>
      <c r="H233" s="117">
        <v>0</v>
      </c>
      <c r="I233" s="117"/>
      <c r="J233" s="149">
        <f>SUM(D233:I233)</f>
        <v>0</v>
      </c>
      <c r="K233" s="118">
        <v>0</v>
      </c>
      <c r="L233" s="116">
        <v>2203</v>
      </c>
      <c r="M233" s="116"/>
      <c r="N233" s="117">
        <f>SUM(J233:M233)</f>
        <v>2203</v>
      </c>
      <c r="O233" s="133"/>
    </row>
    <row r="234" spans="1:15" ht="12.75" customHeight="1" thickBot="1">
      <c r="A234" s="851"/>
      <c r="B234" s="1105"/>
      <c r="C234" s="72" t="s">
        <v>436</v>
      </c>
      <c r="D234" s="150"/>
      <c r="E234" s="150"/>
      <c r="F234" s="150">
        <v>0</v>
      </c>
      <c r="G234" s="150"/>
      <c r="H234" s="150">
        <v>0</v>
      </c>
      <c r="I234" s="150"/>
      <c r="J234" s="151">
        <f>SUM(D234:I234)</f>
        <v>0</v>
      </c>
      <c r="K234" s="152">
        <v>0</v>
      </c>
      <c r="L234" s="171"/>
      <c r="M234" s="171"/>
      <c r="N234" s="150">
        <f>SUM(J234:M234)</f>
        <v>0</v>
      </c>
      <c r="O234" s="170"/>
    </row>
    <row r="235" spans="1:15" ht="12.75" customHeight="1">
      <c r="A235" s="332">
        <v>20</v>
      </c>
      <c r="B235" s="1106"/>
      <c r="C235" s="73" t="s">
        <v>290</v>
      </c>
      <c r="D235" s="145"/>
      <c r="E235" s="145"/>
      <c r="F235" s="145"/>
      <c r="G235" s="145"/>
      <c r="H235" s="145"/>
      <c r="I235" s="145"/>
      <c r="J235" s="154"/>
      <c r="K235" s="155"/>
      <c r="L235" s="145"/>
      <c r="M235" s="145"/>
      <c r="N235" s="145"/>
      <c r="O235" s="169"/>
    </row>
    <row r="236" spans="1:15" ht="12.75" customHeight="1">
      <c r="A236" s="344"/>
      <c r="B236" s="116"/>
      <c r="C236" s="67" t="s">
        <v>434</v>
      </c>
      <c r="D236" s="156">
        <f aca="true" t="shared" si="20" ref="D236:I236">D240+D244+D248</f>
        <v>0</v>
      </c>
      <c r="E236" s="156">
        <f t="shared" si="20"/>
        <v>0</v>
      </c>
      <c r="F236" s="156">
        <f t="shared" si="20"/>
        <v>1668</v>
      </c>
      <c r="G236" s="156">
        <f t="shared" si="20"/>
        <v>0</v>
      </c>
      <c r="H236" s="156">
        <f t="shared" si="20"/>
        <v>0</v>
      </c>
      <c r="I236" s="156">
        <f t="shared" si="20"/>
        <v>0</v>
      </c>
      <c r="J236" s="157">
        <f>SUM(D236:I236)</f>
        <v>1668</v>
      </c>
      <c r="K236" s="172">
        <f aca="true" t="shared" si="21" ref="K236:M237">K240+K244+K248</f>
        <v>0</v>
      </c>
      <c r="L236" s="156">
        <f t="shared" si="21"/>
        <v>0</v>
      </c>
      <c r="M236" s="156">
        <f t="shared" si="21"/>
        <v>0</v>
      </c>
      <c r="N236" s="156">
        <f>SUM(J236:M236)</f>
        <v>1668</v>
      </c>
      <c r="O236" s="181"/>
    </row>
    <row r="237" spans="1:15" ht="12.75" customHeight="1">
      <c r="A237" s="344"/>
      <c r="B237" s="116"/>
      <c r="C237" s="67" t="s">
        <v>435</v>
      </c>
      <c r="D237" s="156">
        <f aca="true" t="shared" si="22" ref="D237:I238">D241+D245+D249</f>
        <v>0</v>
      </c>
      <c r="E237" s="156">
        <f t="shared" si="22"/>
        <v>0</v>
      </c>
      <c r="F237" s="156">
        <f t="shared" si="22"/>
        <v>1715</v>
      </c>
      <c r="G237" s="156">
        <f t="shared" si="22"/>
        <v>0</v>
      </c>
      <c r="H237" s="156">
        <f t="shared" si="22"/>
        <v>0</v>
      </c>
      <c r="I237" s="156">
        <f t="shared" si="22"/>
        <v>0</v>
      </c>
      <c r="J237" s="157">
        <f>SUM(D237:I237)</f>
        <v>1715</v>
      </c>
      <c r="K237" s="172">
        <f t="shared" si="21"/>
        <v>0</v>
      </c>
      <c r="L237" s="156">
        <f t="shared" si="21"/>
        <v>0</v>
      </c>
      <c r="M237" s="156">
        <f t="shared" si="21"/>
        <v>0</v>
      </c>
      <c r="N237" s="156">
        <f>SUM(J237:M237)</f>
        <v>1715</v>
      </c>
      <c r="O237" s="181"/>
    </row>
    <row r="238" spans="1:15" ht="12.75" customHeight="1">
      <c r="A238" s="344"/>
      <c r="B238" s="116"/>
      <c r="C238" s="67" t="s">
        <v>436</v>
      </c>
      <c r="D238" s="156">
        <f t="shared" si="22"/>
        <v>0</v>
      </c>
      <c r="E238" s="156">
        <f t="shared" si="22"/>
        <v>0</v>
      </c>
      <c r="F238" s="156">
        <f>F242+F246+F250</f>
        <v>890</v>
      </c>
      <c r="G238" s="156">
        <f t="shared" si="22"/>
        <v>0</v>
      </c>
      <c r="H238" s="156">
        <f t="shared" si="22"/>
        <v>0</v>
      </c>
      <c r="I238" s="156">
        <f t="shared" si="22"/>
        <v>0</v>
      </c>
      <c r="J238" s="157">
        <f>SUM(D238:I238)</f>
        <v>890</v>
      </c>
      <c r="K238" s="172">
        <f>K242+K246+K250</f>
        <v>0</v>
      </c>
      <c r="L238" s="172">
        <f>L242+L246+L250</f>
        <v>0</v>
      </c>
      <c r="M238" s="156">
        <f>M242+M246+M250</f>
        <v>0</v>
      </c>
      <c r="N238" s="156">
        <f>SUM(J238:M238)</f>
        <v>890</v>
      </c>
      <c r="O238" s="181"/>
    </row>
    <row r="239" spans="1:16" ht="12.75" customHeight="1">
      <c r="A239" s="344"/>
      <c r="B239" s="116" t="s">
        <v>109</v>
      </c>
      <c r="C239" s="77" t="s">
        <v>373</v>
      </c>
      <c r="D239" s="130"/>
      <c r="E239" s="130"/>
      <c r="F239" s="117"/>
      <c r="G239" s="117"/>
      <c r="H239" s="117"/>
      <c r="I239" s="117"/>
      <c r="J239" s="149"/>
      <c r="K239" s="132"/>
      <c r="L239" s="130"/>
      <c r="M239" s="130"/>
      <c r="N239" s="130"/>
      <c r="O239" s="133"/>
      <c r="P239" s="43"/>
    </row>
    <row r="240" spans="1:16" ht="12.75" customHeight="1">
      <c r="A240" s="344"/>
      <c r="B240" s="116"/>
      <c r="C240" s="64" t="s">
        <v>434</v>
      </c>
      <c r="D240" s="130"/>
      <c r="E240" s="130"/>
      <c r="F240" s="117">
        <v>1020</v>
      </c>
      <c r="G240" s="117"/>
      <c r="H240" s="117"/>
      <c r="I240" s="117"/>
      <c r="J240" s="149">
        <f>SUM(D240:H240)</f>
        <v>1020</v>
      </c>
      <c r="K240" s="132"/>
      <c r="L240" s="130"/>
      <c r="M240" s="130"/>
      <c r="N240" s="117">
        <f>SUM(J240:L240)</f>
        <v>1020</v>
      </c>
      <c r="O240" s="133"/>
      <c r="P240" s="43"/>
    </row>
    <row r="241" spans="1:16" ht="12.75" customHeight="1">
      <c r="A241" s="344"/>
      <c r="B241" s="116"/>
      <c r="C241" s="64" t="s">
        <v>435</v>
      </c>
      <c r="D241" s="130"/>
      <c r="E241" s="130"/>
      <c r="F241" s="117">
        <v>1042</v>
      </c>
      <c r="G241" s="117"/>
      <c r="H241" s="117"/>
      <c r="I241" s="117"/>
      <c r="J241" s="149">
        <f>SUM(D241:H241)</f>
        <v>1042</v>
      </c>
      <c r="K241" s="132"/>
      <c r="L241" s="130"/>
      <c r="M241" s="130"/>
      <c r="N241" s="117">
        <f>SUM(J241:L241)</f>
        <v>1042</v>
      </c>
      <c r="O241" s="133"/>
      <c r="P241" s="43"/>
    </row>
    <row r="242" spans="1:16" ht="12.75" customHeight="1">
      <c r="A242" s="344"/>
      <c r="B242" s="116"/>
      <c r="C242" s="64" t="s">
        <v>436</v>
      </c>
      <c r="D242" s="130"/>
      <c r="E242" s="130"/>
      <c r="F242" s="117">
        <f>710+164+1</f>
        <v>875</v>
      </c>
      <c r="G242" s="117"/>
      <c r="H242" s="117"/>
      <c r="I242" s="117"/>
      <c r="J242" s="149">
        <f>SUM(D242:H242)</f>
        <v>875</v>
      </c>
      <c r="K242" s="132"/>
      <c r="L242" s="130"/>
      <c r="M242" s="130"/>
      <c r="N242" s="117">
        <f>SUM(J242:L242)</f>
        <v>875</v>
      </c>
      <c r="O242" s="133"/>
      <c r="P242" s="43"/>
    </row>
    <row r="243" spans="1:16" ht="12.75" customHeight="1">
      <c r="A243" s="344"/>
      <c r="B243" s="116" t="s">
        <v>111</v>
      </c>
      <c r="C243" s="76" t="s">
        <v>374</v>
      </c>
      <c r="D243" s="130"/>
      <c r="E243" s="130"/>
      <c r="F243" s="130"/>
      <c r="G243" s="130"/>
      <c r="H243" s="117"/>
      <c r="I243" s="130"/>
      <c r="J243" s="149"/>
      <c r="K243" s="132"/>
      <c r="L243" s="117"/>
      <c r="M243" s="130"/>
      <c r="N243" s="117"/>
      <c r="O243" s="133"/>
      <c r="P243" s="43"/>
    </row>
    <row r="244" spans="1:16" ht="12.75" customHeight="1">
      <c r="A244" s="344"/>
      <c r="B244" s="116"/>
      <c r="C244" s="64" t="s">
        <v>434</v>
      </c>
      <c r="D244" s="130"/>
      <c r="E244" s="130"/>
      <c r="F244" s="117">
        <v>540</v>
      </c>
      <c r="G244" s="130"/>
      <c r="H244" s="117">
        <v>0</v>
      </c>
      <c r="I244" s="130"/>
      <c r="J244" s="149">
        <f>SUM(D244:H244)</f>
        <v>540</v>
      </c>
      <c r="K244" s="132"/>
      <c r="L244" s="117">
        <v>0</v>
      </c>
      <c r="M244" s="130"/>
      <c r="N244" s="117">
        <f>SUM(J244:L244)</f>
        <v>540</v>
      </c>
      <c r="O244" s="133"/>
      <c r="P244" s="43"/>
    </row>
    <row r="245" spans="1:16" ht="12.75" customHeight="1">
      <c r="A245" s="344"/>
      <c r="B245" s="116"/>
      <c r="C245" s="64" t="s">
        <v>435</v>
      </c>
      <c r="D245" s="130"/>
      <c r="E245" s="130"/>
      <c r="F245" s="117">
        <v>563</v>
      </c>
      <c r="G245" s="130"/>
      <c r="H245" s="117">
        <v>0</v>
      </c>
      <c r="I245" s="130"/>
      <c r="J245" s="149">
        <f>SUM(D245:H245)</f>
        <v>563</v>
      </c>
      <c r="K245" s="132"/>
      <c r="L245" s="117">
        <v>0</v>
      </c>
      <c r="M245" s="130"/>
      <c r="N245" s="117">
        <f>SUM(J245:L245)</f>
        <v>563</v>
      </c>
      <c r="O245" s="133"/>
      <c r="P245" s="43"/>
    </row>
    <row r="246" spans="1:16" ht="12.75" customHeight="1">
      <c r="A246" s="344"/>
      <c r="B246" s="116"/>
      <c r="C246" s="64" t="s">
        <v>436</v>
      </c>
      <c r="D246" s="130"/>
      <c r="E246" s="130"/>
      <c r="F246" s="117">
        <v>0</v>
      </c>
      <c r="G246" s="130"/>
      <c r="H246" s="117">
        <v>0</v>
      </c>
      <c r="I246" s="130"/>
      <c r="J246" s="149">
        <f>SUM(D246:H246)</f>
        <v>0</v>
      </c>
      <c r="K246" s="132"/>
      <c r="L246" s="117">
        <v>0</v>
      </c>
      <c r="M246" s="130"/>
      <c r="N246" s="117">
        <f>SUM(J246:L246)</f>
        <v>0</v>
      </c>
      <c r="O246" s="133"/>
      <c r="P246" s="43"/>
    </row>
    <row r="247" spans="1:16" ht="12.75" customHeight="1">
      <c r="A247" s="344"/>
      <c r="B247" s="116" t="s">
        <v>113</v>
      </c>
      <c r="C247" s="63" t="s">
        <v>381</v>
      </c>
      <c r="D247" s="130"/>
      <c r="E247" s="130"/>
      <c r="F247" s="117"/>
      <c r="G247" s="130"/>
      <c r="H247" s="117"/>
      <c r="I247" s="130"/>
      <c r="J247" s="149"/>
      <c r="K247" s="132"/>
      <c r="L247" s="117"/>
      <c r="M247" s="130"/>
      <c r="N247" s="117"/>
      <c r="O247" s="133"/>
      <c r="P247" s="43"/>
    </row>
    <row r="248" spans="1:16" ht="12.75" customHeight="1">
      <c r="A248" s="344"/>
      <c r="B248" s="116"/>
      <c r="C248" s="64" t="s">
        <v>434</v>
      </c>
      <c r="D248" s="130"/>
      <c r="E248" s="130"/>
      <c r="F248" s="117">
        <v>108</v>
      </c>
      <c r="G248" s="130"/>
      <c r="H248" s="117"/>
      <c r="I248" s="130"/>
      <c r="J248" s="149">
        <f>SUM(D248:H248)</f>
        <v>108</v>
      </c>
      <c r="K248" s="132"/>
      <c r="L248" s="117"/>
      <c r="M248" s="130"/>
      <c r="N248" s="117">
        <f>SUM(J248:L248)</f>
        <v>108</v>
      </c>
      <c r="O248" s="133"/>
      <c r="P248" s="43"/>
    </row>
    <row r="249" spans="1:16" ht="12.75" customHeight="1">
      <c r="A249" s="344"/>
      <c r="B249" s="116"/>
      <c r="C249" s="64" t="s">
        <v>435</v>
      </c>
      <c r="D249" s="130"/>
      <c r="E249" s="130"/>
      <c r="F249" s="117">
        <v>110</v>
      </c>
      <c r="G249" s="130"/>
      <c r="H249" s="117"/>
      <c r="I249" s="130"/>
      <c r="J249" s="149">
        <f>SUM(D249:H249)</f>
        <v>110</v>
      </c>
      <c r="K249" s="132"/>
      <c r="L249" s="117"/>
      <c r="M249" s="130"/>
      <c r="N249" s="117">
        <f>SUM(J249:L249)</f>
        <v>110</v>
      </c>
      <c r="O249" s="133"/>
      <c r="P249" s="43"/>
    </row>
    <row r="250" spans="1:16" ht="12.75" customHeight="1" thickBot="1">
      <c r="A250" s="851"/>
      <c r="B250" s="178"/>
      <c r="C250" s="74" t="s">
        <v>436</v>
      </c>
      <c r="D250" s="156"/>
      <c r="E250" s="156"/>
      <c r="F250" s="120">
        <v>15</v>
      </c>
      <c r="G250" s="156"/>
      <c r="H250" s="120"/>
      <c r="I250" s="156"/>
      <c r="J250" s="161">
        <f>SUM(D250:H250)</f>
        <v>15</v>
      </c>
      <c r="K250" s="172"/>
      <c r="L250" s="120"/>
      <c r="M250" s="156"/>
      <c r="N250" s="120">
        <f>SUM(J250:L250)</f>
        <v>15</v>
      </c>
      <c r="O250" s="181"/>
      <c r="P250" s="43"/>
    </row>
    <row r="251" spans="1:15" ht="12.75" customHeight="1">
      <c r="A251" s="332">
        <v>21</v>
      </c>
      <c r="B251" s="1110"/>
      <c r="C251" s="69" t="s">
        <v>292</v>
      </c>
      <c r="D251" s="139"/>
      <c r="E251" s="139"/>
      <c r="F251" s="69"/>
      <c r="G251" s="69"/>
      <c r="H251" s="69"/>
      <c r="I251" s="69"/>
      <c r="J251" s="173"/>
      <c r="K251" s="95"/>
      <c r="L251" s="69"/>
      <c r="M251" s="69"/>
      <c r="N251" s="69"/>
      <c r="O251" s="182"/>
    </row>
    <row r="252" spans="1:15" ht="12.75" customHeight="1">
      <c r="A252" s="344"/>
      <c r="B252" s="335"/>
      <c r="C252" s="67" t="s">
        <v>434</v>
      </c>
      <c r="D252" s="130"/>
      <c r="E252" s="130"/>
      <c r="F252" s="174">
        <f>F256+F260</f>
        <v>31000</v>
      </c>
      <c r="G252" s="174"/>
      <c r="H252" s="174"/>
      <c r="I252" s="174"/>
      <c r="J252" s="175">
        <f>SUM(F252:I252)</f>
        <v>31000</v>
      </c>
      <c r="K252" s="176">
        <f>K256+K260</f>
        <v>0</v>
      </c>
      <c r="L252" s="174"/>
      <c r="M252" s="174"/>
      <c r="N252" s="174">
        <f>SUM(J252:M252)</f>
        <v>31000</v>
      </c>
      <c r="O252" s="133"/>
    </row>
    <row r="253" spans="1:15" ht="12.75" customHeight="1">
      <c r="A253" s="344"/>
      <c r="B253" s="335"/>
      <c r="C253" s="67" t="s">
        <v>435</v>
      </c>
      <c r="D253" s="130"/>
      <c r="E253" s="130"/>
      <c r="F253" s="174">
        <f>F257+F261</f>
        <v>27666</v>
      </c>
      <c r="G253" s="174"/>
      <c r="H253" s="174"/>
      <c r="I253" s="174"/>
      <c r="J253" s="175">
        <f>SUM(F253:I253)</f>
        <v>27666</v>
      </c>
      <c r="K253" s="176">
        <f>K257+K261</f>
        <v>0</v>
      </c>
      <c r="L253" s="174"/>
      <c r="M253" s="174"/>
      <c r="N253" s="174">
        <f>SUM(J253:M253)</f>
        <v>27666</v>
      </c>
      <c r="O253" s="133"/>
    </row>
    <row r="254" spans="1:15" ht="12.75" customHeight="1">
      <c r="A254" s="344"/>
      <c r="B254" s="335"/>
      <c r="C254" s="67" t="s">
        <v>436</v>
      </c>
      <c r="D254" s="130"/>
      <c r="E254" s="130"/>
      <c r="F254" s="174">
        <f>F258+F262</f>
        <v>27140</v>
      </c>
      <c r="G254" s="174"/>
      <c r="H254" s="174"/>
      <c r="I254" s="174"/>
      <c r="J254" s="175">
        <f>SUM(F254:I254)</f>
        <v>27140</v>
      </c>
      <c r="K254" s="176">
        <f>K258+K262</f>
        <v>0</v>
      </c>
      <c r="L254" s="174"/>
      <c r="M254" s="174"/>
      <c r="N254" s="174">
        <f>SUM(J254:M254)</f>
        <v>27140</v>
      </c>
      <c r="O254" s="133"/>
    </row>
    <row r="255" spans="1:15" ht="12.75" customHeight="1">
      <c r="A255" s="344"/>
      <c r="B255" s="335" t="s">
        <v>109</v>
      </c>
      <c r="C255" s="77" t="s">
        <v>382</v>
      </c>
      <c r="D255" s="130"/>
      <c r="E255" s="130"/>
      <c r="F255" s="116"/>
      <c r="G255" s="174"/>
      <c r="H255" s="130"/>
      <c r="I255" s="130"/>
      <c r="J255" s="149"/>
      <c r="K255" s="177"/>
      <c r="L255" s="116"/>
      <c r="M255" s="116"/>
      <c r="N255" s="117"/>
      <c r="O255" s="133"/>
    </row>
    <row r="256" spans="1:15" ht="12.75" customHeight="1">
      <c r="A256" s="344"/>
      <c r="B256" s="335"/>
      <c r="C256" s="64" t="s">
        <v>434</v>
      </c>
      <c r="D256" s="130"/>
      <c r="E256" s="130"/>
      <c r="F256" s="116">
        <v>30000</v>
      </c>
      <c r="G256" s="174"/>
      <c r="H256" s="130"/>
      <c r="I256" s="130"/>
      <c r="J256" s="149">
        <f>SUM(D256:H256)</f>
        <v>30000</v>
      </c>
      <c r="K256" s="177"/>
      <c r="L256" s="116"/>
      <c r="M256" s="116"/>
      <c r="N256" s="117">
        <f>SUM(J256:L256)</f>
        <v>30000</v>
      </c>
      <c r="O256" s="133"/>
    </row>
    <row r="257" spans="1:15" ht="12.75" customHeight="1">
      <c r="A257" s="344"/>
      <c r="B257" s="335"/>
      <c r="C257" s="64" t="s">
        <v>435</v>
      </c>
      <c r="D257" s="130"/>
      <c r="E257" s="130"/>
      <c r="F257" s="116">
        <f>330+26625</f>
        <v>26955</v>
      </c>
      <c r="G257" s="174"/>
      <c r="H257" s="130"/>
      <c r="I257" s="130"/>
      <c r="J257" s="149">
        <f>SUM(D257:H257)</f>
        <v>26955</v>
      </c>
      <c r="K257" s="177"/>
      <c r="L257" s="116"/>
      <c r="M257" s="116"/>
      <c r="N257" s="117">
        <f>SUM(J257:L257)</f>
        <v>26955</v>
      </c>
      <c r="O257" s="133"/>
    </row>
    <row r="258" spans="1:15" ht="12.75" customHeight="1">
      <c r="A258" s="344"/>
      <c r="B258" s="335"/>
      <c r="C258" s="64" t="s">
        <v>436</v>
      </c>
      <c r="D258" s="130"/>
      <c r="E258" s="130"/>
      <c r="F258" s="116">
        <v>26690</v>
      </c>
      <c r="G258" s="174"/>
      <c r="H258" s="130"/>
      <c r="I258" s="130"/>
      <c r="J258" s="149">
        <f>SUM(D258:H258)</f>
        <v>26690</v>
      </c>
      <c r="K258" s="177"/>
      <c r="L258" s="116"/>
      <c r="M258" s="116"/>
      <c r="N258" s="117">
        <f>SUM(J258:L258)</f>
        <v>26690</v>
      </c>
      <c r="O258" s="133"/>
    </row>
    <row r="259" spans="1:15" ht="12.75" customHeight="1">
      <c r="A259" s="344"/>
      <c r="B259" s="335" t="s">
        <v>111</v>
      </c>
      <c r="C259" s="79" t="s">
        <v>636</v>
      </c>
      <c r="D259" s="130"/>
      <c r="E259" s="130"/>
      <c r="F259" s="116"/>
      <c r="G259" s="174"/>
      <c r="H259" s="130"/>
      <c r="I259" s="130"/>
      <c r="J259" s="149"/>
      <c r="K259" s="177"/>
      <c r="L259" s="116"/>
      <c r="M259" s="116"/>
      <c r="N259" s="117"/>
      <c r="O259" s="133"/>
    </row>
    <row r="260" spans="1:15" ht="12.75" customHeight="1">
      <c r="A260" s="344"/>
      <c r="B260" s="335"/>
      <c r="C260" s="64" t="s">
        <v>434</v>
      </c>
      <c r="D260" s="130"/>
      <c r="E260" s="130"/>
      <c r="F260" s="116">
        <v>1000</v>
      </c>
      <c r="G260" s="174"/>
      <c r="H260" s="130"/>
      <c r="I260" s="130"/>
      <c r="J260" s="149">
        <f>SUM(D260:H260)</f>
        <v>1000</v>
      </c>
      <c r="K260" s="177">
        <v>0</v>
      </c>
      <c r="L260" s="116"/>
      <c r="M260" s="116"/>
      <c r="N260" s="117">
        <f>SUM(J260:L260)</f>
        <v>1000</v>
      </c>
      <c r="O260" s="133"/>
    </row>
    <row r="261" spans="1:15" ht="12.75" customHeight="1">
      <c r="A261" s="344"/>
      <c r="B261" s="335"/>
      <c r="C261" s="64" t="s">
        <v>435</v>
      </c>
      <c r="D261" s="130"/>
      <c r="E261" s="130"/>
      <c r="F261" s="116">
        <f>-330+1041</f>
        <v>711</v>
      </c>
      <c r="G261" s="174"/>
      <c r="H261" s="130"/>
      <c r="I261" s="130"/>
      <c r="J261" s="149">
        <f>SUM(D261:H261)</f>
        <v>711</v>
      </c>
      <c r="K261" s="177">
        <v>0</v>
      </c>
      <c r="L261" s="116"/>
      <c r="M261" s="116"/>
      <c r="N261" s="117">
        <f>SUM(J261:L261)</f>
        <v>711</v>
      </c>
      <c r="O261" s="133"/>
    </row>
    <row r="262" spans="1:15" ht="12.75" customHeight="1" thickBot="1">
      <c r="A262" s="851"/>
      <c r="B262" s="338"/>
      <c r="C262" s="74" t="s">
        <v>436</v>
      </c>
      <c r="D262" s="156"/>
      <c r="E262" s="156"/>
      <c r="F262" s="178">
        <v>450</v>
      </c>
      <c r="G262" s="179"/>
      <c r="H262" s="156"/>
      <c r="I262" s="156"/>
      <c r="J262" s="161">
        <f>SUM(D262:H262)</f>
        <v>450</v>
      </c>
      <c r="K262" s="180">
        <v>0</v>
      </c>
      <c r="L262" s="178"/>
      <c r="M262" s="178"/>
      <c r="N262" s="120">
        <f>SUM(J262:L262)</f>
        <v>450</v>
      </c>
      <c r="O262" s="181"/>
    </row>
    <row r="263" spans="1:15" ht="12.75" customHeight="1">
      <c r="A263" s="332">
        <v>22</v>
      </c>
      <c r="B263" s="1098"/>
      <c r="C263" s="83" t="s">
        <v>294</v>
      </c>
      <c r="D263" s="139"/>
      <c r="E263" s="139"/>
      <c r="F263" s="139"/>
      <c r="G263" s="139"/>
      <c r="H263" s="139"/>
      <c r="I263" s="139"/>
      <c r="J263" s="140"/>
      <c r="K263" s="141"/>
      <c r="L263" s="139"/>
      <c r="M263" s="139"/>
      <c r="N263" s="139"/>
      <c r="O263" s="140"/>
    </row>
    <row r="264" spans="1:15" ht="12.75" customHeight="1">
      <c r="A264" s="344"/>
      <c r="B264" s="116"/>
      <c r="C264" s="67" t="s">
        <v>434</v>
      </c>
      <c r="D264" s="130">
        <f aca="true" t="shared" si="23" ref="D264:I264">D268+D272+D276+D280+D284+D288+D292+D300+D304+D296+D308+D312+D316+D320+D324</f>
        <v>10345</v>
      </c>
      <c r="E264" s="130">
        <f t="shared" si="23"/>
        <v>3311</v>
      </c>
      <c r="F264" s="130">
        <f t="shared" si="23"/>
        <v>82125</v>
      </c>
      <c r="G264" s="130">
        <f t="shared" si="23"/>
        <v>0</v>
      </c>
      <c r="H264" s="130">
        <f t="shared" si="23"/>
        <v>1450</v>
      </c>
      <c r="I264" s="130">
        <f t="shared" si="23"/>
        <v>328906</v>
      </c>
      <c r="J264" s="131">
        <f>SUM(D264:I264)</f>
        <v>426137</v>
      </c>
      <c r="K264" s="130">
        <f>K268+K272+K276+K280+K284+K288+K292+K300+K304+K296+K308+K312+K316+K320+K324</f>
        <v>10500</v>
      </c>
      <c r="L264" s="130">
        <f>L268+L272+L276+L280+L284+L288+L292+L300+L304+L296+L308+L312+L316+L320+L324</f>
        <v>0</v>
      </c>
      <c r="M264" s="130">
        <f>M268+M272+M276+M280+M284+M288+M292+M300+M304+M296+M308+M312+M316+M320+M324</f>
        <v>0</v>
      </c>
      <c r="N264" s="130">
        <f>SUM(J264:M264)</f>
        <v>436637</v>
      </c>
      <c r="O264" s="131"/>
    </row>
    <row r="265" spans="1:15" ht="12.75" customHeight="1">
      <c r="A265" s="344"/>
      <c r="B265" s="116"/>
      <c r="C265" s="67" t="s">
        <v>435</v>
      </c>
      <c r="D265" s="130">
        <f aca="true" t="shared" si="24" ref="D265:I266">D269+D273+D277+D281+D285+D289+D293+D301+D305+D297+D309+D313+D317+D321+D325</f>
        <v>998</v>
      </c>
      <c r="E265" s="130">
        <f t="shared" si="24"/>
        <v>395</v>
      </c>
      <c r="F265" s="130">
        <f t="shared" si="24"/>
        <v>64071</v>
      </c>
      <c r="G265" s="130">
        <f t="shared" si="24"/>
        <v>0</v>
      </c>
      <c r="H265" s="130">
        <f t="shared" si="24"/>
        <v>1603</v>
      </c>
      <c r="I265" s="130">
        <f t="shared" si="24"/>
        <v>352462</v>
      </c>
      <c r="J265" s="131">
        <f>SUM(D265:I265)</f>
        <v>419529</v>
      </c>
      <c r="K265" s="130">
        <f aca="true" t="shared" si="25" ref="K265:M266">K269+K273+K277+K281+K285+K289+K293+K301+K305+K297+K309+K313+K317+K321+K325</f>
        <v>20587</v>
      </c>
      <c r="L265" s="130">
        <f t="shared" si="25"/>
        <v>28798</v>
      </c>
      <c r="M265" s="130">
        <f t="shared" si="25"/>
        <v>0</v>
      </c>
      <c r="N265" s="130">
        <f>SUM(J265:M265)</f>
        <v>468914</v>
      </c>
      <c r="O265" s="131"/>
    </row>
    <row r="266" spans="1:15" ht="12.75" customHeight="1">
      <c r="A266" s="344"/>
      <c r="B266" s="116"/>
      <c r="C266" s="67" t="s">
        <v>436</v>
      </c>
      <c r="D266" s="130">
        <f t="shared" si="24"/>
        <v>0</v>
      </c>
      <c r="E266" s="130">
        <f t="shared" si="24"/>
        <v>0</v>
      </c>
      <c r="F266" s="130">
        <f>F270+F274+F278+F282+F286+F290+F294+F302+F306+F298+F310+F314+F318+F322+F326</f>
        <v>61364</v>
      </c>
      <c r="G266" s="130">
        <f t="shared" si="24"/>
        <v>0</v>
      </c>
      <c r="H266" s="130">
        <f t="shared" si="24"/>
        <v>1595</v>
      </c>
      <c r="I266" s="130">
        <f>I270+I274+I278+I282+I286+I290+I294+I302+I306+I298+I310+I314+I318+I322+I326</f>
        <v>341185</v>
      </c>
      <c r="J266" s="131">
        <f>SUM(D266:I266)</f>
        <v>404144</v>
      </c>
      <c r="K266" s="130">
        <f t="shared" si="25"/>
        <v>9542</v>
      </c>
      <c r="L266" s="130">
        <f t="shared" si="25"/>
        <v>26612</v>
      </c>
      <c r="M266" s="130">
        <f t="shared" si="25"/>
        <v>0</v>
      </c>
      <c r="N266" s="130">
        <f>SUM(J266:M266)</f>
        <v>440298</v>
      </c>
      <c r="O266" s="131"/>
    </row>
    <row r="267" spans="1:15" ht="13.5" customHeight="1">
      <c r="A267" s="344"/>
      <c r="B267" s="335" t="s">
        <v>109</v>
      </c>
      <c r="C267" s="70" t="s">
        <v>383</v>
      </c>
      <c r="D267" s="117"/>
      <c r="E267" s="117"/>
      <c r="F267" s="117"/>
      <c r="G267" s="117"/>
      <c r="H267" s="117"/>
      <c r="I267" s="117"/>
      <c r="J267" s="149"/>
      <c r="K267" s="118"/>
      <c r="L267" s="117"/>
      <c r="M267" s="117"/>
      <c r="N267" s="117"/>
      <c r="O267" s="119"/>
    </row>
    <row r="268" spans="1:15" ht="13.5" customHeight="1">
      <c r="A268" s="344"/>
      <c r="B268" s="335"/>
      <c r="C268" s="64" t="s">
        <v>434</v>
      </c>
      <c r="D268" s="117">
        <v>10345</v>
      </c>
      <c r="E268" s="117">
        <v>3311</v>
      </c>
      <c r="F268" s="117">
        <v>1500</v>
      </c>
      <c r="G268" s="117"/>
      <c r="H268" s="117"/>
      <c r="I268" s="117">
        <v>0</v>
      </c>
      <c r="J268" s="149">
        <f>SUM(D268:I268)</f>
        <v>15156</v>
      </c>
      <c r="K268" s="118">
        <v>10500</v>
      </c>
      <c r="L268" s="117"/>
      <c r="M268" s="117"/>
      <c r="N268" s="117">
        <f>SUM(J268:M268)</f>
        <v>25656</v>
      </c>
      <c r="O268" s="119"/>
    </row>
    <row r="269" spans="1:15" ht="13.5" customHeight="1">
      <c r="A269" s="344"/>
      <c r="B269" s="335"/>
      <c r="C269" s="64" t="s">
        <v>435</v>
      </c>
      <c r="D269" s="117">
        <v>998</v>
      </c>
      <c r="E269" s="117">
        <v>395</v>
      </c>
      <c r="F269" s="117">
        <v>933</v>
      </c>
      <c r="G269" s="117"/>
      <c r="H269" s="117"/>
      <c r="I269" s="117">
        <v>0</v>
      </c>
      <c r="J269" s="149">
        <f>SUM(D269:I269)</f>
        <v>2326</v>
      </c>
      <c r="K269" s="118">
        <v>14380</v>
      </c>
      <c r="L269" s="117"/>
      <c r="M269" s="117"/>
      <c r="N269" s="117">
        <f>SUM(J269:M269)</f>
        <v>16706</v>
      </c>
      <c r="O269" s="119"/>
    </row>
    <row r="270" spans="1:15" ht="13.5" customHeight="1">
      <c r="A270" s="344"/>
      <c r="B270" s="335"/>
      <c r="C270" s="64" t="s">
        <v>436</v>
      </c>
      <c r="D270" s="117">
        <v>0</v>
      </c>
      <c r="E270" s="117">
        <v>0</v>
      </c>
      <c r="F270" s="117">
        <f>75+920+212</f>
        <v>1207</v>
      </c>
      <c r="G270" s="117"/>
      <c r="H270" s="117"/>
      <c r="I270" s="117">
        <v>0</v>
      </c>
      <c r="J270" s="149">
        <f>SUM(D270:I270)</f>
        <v>1207</v>
      </c>
      <c r="K270" s="118">
        <f>2963+741-162</f>
        <v>3542</v>
      </c>
      <c r="L270" s="117"/>
      <c r="M270" s="117"/>
      <c r="N270" s="117">
        <f>SUM(J270:M270)</f>
        <v>4749</v>
      </c>
      <c r="O270" s="119"/>
    </row>
    <row r="271" spans="1:15" ht="12.75" customHeight="1">
      <c r="A271" s="344"/>
      <c r="B271" s="335" t="s">
        <v>111</v>
      </c>
      <c r="C271" s="65" t="s">
        <v>295</v>
      </c>
      <c r="D271" s="117"/>
      <c r="E271" s="117"/>
      <c r="F271" s="117"/>
      <c r="G271" s="117"/>
      <c r="H271" s="117"/>
      <c r="I271" s="117"/>
      <c r="J271" s="149"/>
      <c r="K271" s="118"/>
      <c r="L271" s="117"/>
      <c r="M271" s="117"/>
      <c r="N271" s="117"/>
      <c r="O271" s="119"/>
    </row>
    <row r="272" spans="1:15" ht="12.75" customHeight="1">
      <c r="A272" s="344"/>
      <c r="B272" s="335"/>
      <c r="C272" s="64" t="s">
        <v>434</v>
      </c>
      <c r="D272" s="117"/>
      <c r="E272" s="117"/>
      <c r="F272" s="117"/>
      <c r="G272" s="117"/>
      <c r="H272" s="117">
        <v>1100</v>
      </c>
      <c r="I272" s="117"/>
      <c r="J272" s="149">
        <f>SUM(D272:H272)</f>
        <v>1100</v>
      </c>
      <c r="K272" s="118"/>
      <c r="L272" s="117"/>
      <c r="M272" s="117"/>
      <c r="N272" s="117">
        <f>SUM(J272:M272)</f>
        <v>1100</v>
      </c>
      <c r="O272" s="119"/>
    </row>
    <row r="273" spans="1:15" ht="12.75" customHeight="1">
      <c r="A273" s="344"/>
      <c r="B273" s="335"/>
      <c r="C273" s="64" t="s">
        <v>435</v>
      </c>
      <c r="D273" s="117"/>
      <c r="E273" s="117"/>
      <c r="F273" s="117"/>
      <c r="G273" s="117"/>
      <c r="H273" s="117">
        <v>0</v>
      </c>
      <c r="I273" s="117">
        <v>1100</v>
      </c>
      <c r="J273" s="149">
        <f>SUM(D273:I273)</f>
        <v>1100</v>
      </c>
      <c r="K273" s="118"/>
      <c r="L273" s="117"/>
      <c r="M273" s="117"/>
      <c r="N273" s="117">
        <f>SUM(J273:M273)</f>
        <v>1100</v>
      </c>
      <c r="O273" s="119"/>
    </row>
    <row r="274" spans="1:15" ht="12.75" customHeight="1">
      <c r="A274" s="344"/>
      <c r="B274" s="335"/>
      <c r="C274" s="64" t="s">
        <v>436</v>
      </c>
      <c r="D274" s="117"/>
      <c r="E274" s="117"/>
      <c r="F274" s="117"/>
      <c r="G274" s="117"/>
      <c r="H274" s="117">
        <v>0</v>
      </c>
      <c r="I274" s="117">
        <v>1025</v>
      </c>
      <c r="J274" s="149">
        <f>SUM(D274:I274)</f>
        <v>1025</v>
      </c>
      <c r="K274" s="118"/>
      <c r="L274" s="117"/>
      <c r="M274" s="117"/>
      <c r="N274" s="117">
        <f>SUM(J274:M274)</f>
        <v>1025</v>
      </c>
      <c r="O274" s="119"/>
    </row>
    <row r="275" spans="1:15" ht="12.75" customHeight="1">
      <c r="A275" s="344"/>
      <c r="B275" s="335">
        <v>3</v>
      </c>
      <c r="C275" s="65" t="s">
        <v>384</v>
      </c>
      <c r="D275" s="117"/>
      <c r="E275" s="117"/>
      <c r="F275" s="117"/>
      <c r="G275" s="117"/>
      <c r="H275" s="117"/>
      <c r="I275" s="117"/>
      <c r="J275" s="149"/>
      <c r="K275" s="118"/>
      <c r="L275" s="117"/>
      <c r="M275" s="117"/>
      <c r="N275" s="117"/>
      <c r="O275" s="119"/>
    </row>
    <row r="276" spans="1:15" ht="12.75" customHeight="1">
      <c r="A276" s="344"/>
      <c r="B276" s="335"/>
      <c r="C276" s="64" t="s">
        <v>434</v>
      </c>
      <c r="D276" s="117"/>
      <c r="E276" s="117"/>
      <c r="F276" s="117">
        <v>100</v>
      </c>
      <c r="G276" s="117"/>
      <c r="H276" s="117"/>
      <c r="I276" s="117"/>
      <c r="J276" s="149">
        <f>SUM(D276:H276)</f>
        <v>100</v>
      </c>
      <c r="K276" s="118"/>
      <c r="L276" s="117"/>
      <c r="M276" s="117"/>
      <c r="N276" s="117">
        <f>SUM(J276:M276)</f>
        <v>100</v>
      </c>
      <c r="O276" s="119"/>
    </row>
    <row r="277" spans="1:15" ht="12.75" customHeight="1">
      <c r="A277" s="344"/>
      <c r="B277" s="335"/>
      <c r="C277" s="64" t="s">
        <v>435</v>
      </c>
      <c r="D277" s="117"/>
      <c r="E277" s="117"/>
      <c r="F277" s="117">
        <v>100</v>
      </c>
      <c r="G277" s="117"/>
      <c r="H277" s="117"/>
      <c r="I277" s="117"/>
      <c r="J277" s="149">
        <f>SUM(D277:H277)</f>
        <v>100</v>
      </c>
      <c r="K277" s="118"/>
      <c r="L277" s="117"/>
      <c r="M277" s="117"/>
      <c r="N277" s="117">
        <f>SUM(J277:M277)</f>
        <v>100</v>
      </c>
      <c r="O277" s="119"/>
    </row>
    <row r="278" spans="1:15" ht="12.75" customHeight="1">
      <c r="A278" s="344"/>
      <c r="B278" s="335"/>
      <c r="C278" s="64" t="s">
        <v>436</v>
      </c>
      <c r="D278" s="117"/>
      <c r="E278" s="117"/>
      <c r="F278" s="117">
        <v>71</v>
      </c>
      <c r="G278" s="117"/>
      <c r="H278" s="117"/>
      <c r="I278" s="117"/>
      <c r="J278" s="149">
        <f>SUM(D278:H278)</f>
        <v>71</v>
      </c>
      <c r="K278" s="118"/>
      <c r="L278" s="117"/>
      <c r="M278" s="117"/>
      <c r="N278" s="117">
        <f>SUM(J278:M278)</f>
        <v>71</v>
      </c>
      <c r="O278" s="119"/>
    </row>
    <row r="279" spans="1:15" ht="13.5" customHeight="1">
      <c r="A279" s="344"/>
      <c r="B279" s="335">
        <v>4</v>
      </c>
      <c r="C279" s="84" t="s">
        <v>385</v>
      </c>
      <c r="D279" s="117"/>
      <c r="E279" s="117"/>
      <c r="F279" s="117"/>
      <c r="G279" s="117"/>
      <c r="H279" s="117"/>
      <c r="I279" s="117"/>
      <c r="J279" s="149"/>
      <c r="K279" s="118"/>
      <c r="L279" s="116"/>
      <c r="M279" s="117"/>
      <c r="N279" s="117"/>
      <c r="O279" s="119"/>
    </row>
    <row r="280" spans="1:15" ht="11.25" customHeight="1">
      <c r="A280" s="344"/>
      <c r="B280" s="335"/>
      <c r="C280" s="64" t="s">
        <v>434</v>
      </c>
      <c r="D280" s="117"/>
      <c r="E280" s="117"/>
      <c r="F280" s="117"/>
      <c r="G280" s="117"/>
      <c r="H280" s="117">
        <v>350</v>
      </c>
      <c r="I280" s="117"/>
      <c r="J280" s="149">
        <f>SUM(D280:H280)</f>
        <v>350</v>
      </c>
      <c r="K280" s="118">
        <v>0</v>
      </c>
      <c r="L280" s="116"/>
      <c r="M280" s="117"/>
      <c r="N280" s="117">
        <f>SUM(J280:M280)</f>
        <v>350</v>
      </c>
      <c r="O280" s="119"/>
    </row>
    <row r="281" spans="1:15" ht="12.75" customHeight="1">
      <c r="A281" s="344"/>
      <c r="B281" s="335"/>
      <c r="C281" s="64" t="s">
        <v>435</v>
      </c>
      <c r="D281" s="117"/>
      <c r="E281" s="117"/>
      <c r="F281" s="117"/>
      <c r="G281" s="117"/>
      <c r="H281" s="117">
        <v>950</v>
      </c>
      <c r="I281" s="117"/>
      <c r="J281" s="149">
        <f>SUM(D281:H281)</f>
        <v>950</v>
      </c>
      <c r="K281" s="118">
        <v>0</v>
      </c>
      <c r="L281" s="116"/>
      <c r="M281" s="117"/>
      <c r="N281" s="117">
        <f>SUM(J281:M281)</f>
        <v>950</v>
      </c>
      <c r="O281" s="119"/>
    </row>
    <row r="282" spans="1:15" ht="12" customHeight="1">
      <c r="A282" s="344"/>
      <c r="B282" s="335"/>
      <c r="C282" s="64" t="s">
        <v>436</v>
      </c>
      <c r="D282" s="117"/>
      <c r="E282" s="117"/>
      <c r="F282" s="117"/>
      <c r="G282" s="117"/>
      <c r="H282" s="117">
        <v>950</v>
      </c>
      <c r="I282" s="117"/>
      <c r="J282" s="149">
        <f>SUM(D282:H282)</f>
        <v>950</v>
      </c>
      <c r="K282" s="118">
        <v>0</v>
      </c>
      <c r="L282" s="116"/>
      <c r="M282" s="117"/>
      <c r="N282" s="117">
        <f>SUM(J282:M282)</f>
        <v>950</v>
      </c>
      <c r="O282" s="119"/>
    </row>
    <row r="283" spans="1:15" ht="12.75" customHeight="1">
      <c r="A283" s="344"/>
      <c r="B283" s="335">
        <v>5</v>
      </c>
      <c r="C283" s="85" t="s">
        <v>386</v>
      </c>
      <c r="D283" s="117"/>
      <c r="E283" s="117"/>
      <c r="F283" s="117"/>
      <c r="G283" s="117"/>
      <c r="H283" s="117"/>
      <c r="I283" s="117"/>
      <c r="J283" s="149"/>
      <c r="K283" s="118"/>
      <c r="L283" s="117"/>
      <c r="M283" s="117"/>
      <c r="N283" s="117"/>
      <c r="O283" s="119"/>
    </row>
    <row r="284" spans="1:15" ht="12.75" customHeight="1">
      <c r="A284" s="344"/>
      <c r="B284" s="335"/>
      <c r="C284" s="64" t="s">
        <v>434</v>
      </c>
      <c r="D284" s="117"/>
      <c r="E284" s="117"/>
      <c r="F284" s="117">
        <v>56323</v>
      </c>
      <c r="G284" s="117"/>
      <c r="H284" s="117"/>
      <c r="I284" s="117"/>
      <c r="J284" s="149">
        <f>SUM(D284:H284)</f>
        <v>56323</v>
      </c>
      <c r="K284" s="118"/>
      <c r="L284" s="117"/>
      <c r="M284" s="117"/>
      <c r="N284" s="117">
        <f>SUM(J284:M284)</f>
        <v>56323</v>
      </c>
      <c r="O284" s="119"/>
    </row>
    <row r="285" spans="1:15" ht="12.75" customHeight="1">
      <c r="A285" s="344"/>
      <c r="B285" s="335"/>
      <c r="C285" s="64" t="s">
        <v>435</v>
      </c>
      <c r="D285" s="117"/>
      <c r="E285" s="117"/>
      <c r="F285" s="117">
        <v>37497</v>
      </c>
      <c r="G285" s="117"/>
      <c r="H285" s="117"/>
      <c r="I285" s="117"/>
      <c r="J285" s="149">
        <f>SUM(D285:H285)</f>
        <v>37497</v>
      </c>
      <c r="K285" s="118">
        <v>2494</v>
      </c>
      <c r="L285" s="117"/>
      <c r="M285" s="117"/>
      <c r="N285" s="117">
        <f>SUM(J285:M285)</f>
        <v>39991</v>
      </c>
      <c r="O285" s="119"/>
    </row>
    <row r="286" spans="1:15" ht="10.5" customHeight="1">
      <c r="A286" s="344"/>
      <c r="B286" s="335"/>
      <c r="C286" s="64" t="s">
        <v>436</v>
      </c>
      <c r="D286" s="117"/>
      <c r="E286" s="117"/>
      <c r="F286" s="117">
        <f>28425+6704</f>
        <v>35129</v>
      </c>
      <c r="G286" s="117"/>
      <c r="H286" s="117"/>
      <c r="I286" s="117"/>
      <c r="J286" s="149">
        <f>SUM(D286:H286)</f>
        <v>35129</v>
      </c>
      <c r="K286" s="118">
        <f>1867+420</f>
        <v>2287</v>
      </c>
      <c r="L286" s="117"/>
      <c r="M286" s="117"/>
      <c r="N286" s="117">
        <f>SUM(J286:M286)</f>
        <v>37416</v>
      </c>
      <c r="O286" s="119"/>
    </row>
    <row r="287" spans="1:15" ht="12.75" customHeight="1">
      <c r="A287" s="344"/>
      <c r="B287" s="335">
        <v>6</v>
      </c>
      <c r="C287" s="84" t="s">
        <v>387</v>
      </c>
      <c r="D287" s="117"/>
      <c r="E287" s="117"/>
      <c r="F287" s="117"/>
      <c r="G287" s="117"/>
      <c r="H287" s="117"/>
      <c r="I287" s="117"/>
      <c r="J287" s="149"/>
      <c r="K287" s="118"/>
      <c r="L287" s="117"/>
      <c r="M287" s="117"/>
      <c r="N287" s="117"/>
      <c r="O287" s="119"/>
    </row>
    <row r="288" spans="1:15" ht="12.75" customHeight="1">
      <c r="A288" s="344"/>
      <c r="B288" s="335"/>
      <c r="C288" s="64" t="s">
        <v>434</v>
      </c>
      <c r="D288" s="117"/>
      <c r="E288" s="117"/>
      <c r="F288" s="117">
        <v>24202</v>
      </c>
      <c r="G288" s="117"/>
      <c r="H288" s="117">
        <v>0</v>
      </c>
      <c r="I288" s="117"/>
      <c r="J288" s="149">
        <f>SUM(D288:H288)</f>
        <v>24202</v>
      </c>
      <c r="K288" s="118"/>
      <c r="L288" s="117"/>
      <c r="M288" s="117"/>
      <c r="N288" s="117">
        <f>SUM(J288:M288)</f>
        <v>24202</v>
      </c>
      <c r="O288" s="119"/>
    </row>
    <row r="289" spans="1:15" ht="12.75" customHeight="1">
      <c r="A289" s="344"/>
      <c r="B289" s="335"/>
      <c r="C289" s="64" t="s">
        <v>435</v>
      </c>
      <c r="D289" s="117"/>
      <c r="E289" s="117"/>
      <c r="F289" s="117">
        <v>23706</v>
      </c>
      <c r="G289" s="117"/>
      <c r="H289" s="117">
        <v>0</v>
      </c>
      <c r="I289" s="117"/>
      <c r="J289" s="149">
        <f>SUM(D289:H289)</f>
        <v>23706</v>
      </c>
      <c r="K289" s="118">
        <v>0</v>
      </c>
      <c r="L289" s="117"/>
      <c r="M289" s="117"/>
      <c r="N289" s="117">
        <f>SUM(J289:M289)</f>
        <v>23706</v>
      </c>
      <c r="O289" s="119"/>
    </row>
    <row r="290" spans="1:15" ht="12.75" customHeight="1">
      <c r="A290" s="344"/>
      <c r="B290" s="335"/>
      <c r="C290" s="64" t="s">
        <v>436</v>
      </c>
      <c r="D290" s="117"/>
      <c r="E290" s="117"/>
      <c r="F290" s="117">
        <v>23159</v>
      </c>
      <c r="G290" s="117"/>
      <c r="H290" s="117">
        <v>0</v>
      </c>
      <c r="I290" s="117"/>
      <c r="J290" s="149">
        <f>SUM(D290:H290)</f>
        <v>23159</v>
      </c>
      <c r="K290" s="118">
        <v>0</v>
      </c>
      <c r="L290" s="117"/>
      <c r="M290" s="117"/>
      <c r="N290" s="117">
        <f>SUM(J290:M290)</f>
        <v>23159</v>
      </c>
      <c r="O290" s="119"/>
    </row>
    <row r="291" spans="1:15" ht="16.5" customHeight="1">
      <c r="A291" s="344"/>
      <c r="B291" s="335">
        <v>7</v>
      </c>
      <c r="C291" s="1299" t="s">
        <v>637</v>
      </c>
      <c r="D291" s="1300"/>
      <c r="E291" s="1300"/>
      <c r="F291" s="1301"/>
      <c r="G291" s="117"/>
      <c r="H291" s="117"/>
      <c r="I291" s="117"/>
      <c r="J291" s="149"/>
      <c r="K291" s="118"/>
      <c r="L291" s="117"/>
      <c r="M291" s="117"/>
      <c r="N291" s="117"/>
      <c r="O291" s="119"/>
    </row>
    <row r="292" spans="1:15" ht="12.75" customHeight="1">
      <c r="A292" s="344"/>
      <c r="B292" s="335"/>
      <c r="C292" s="64" t="s">
        <v>434</v>
      </c>
      <c r="D292" s="117"/>
      <c r="E292" s="117"/>
      <c r="F292" s="117">
        <v>0</v>
      </c>
      <c r="G292" s="117"/>
      <c r="H292" s="117"/>
      <c r="I292" s="117">
        <v>328906</v>
      </c>
      <c r="J292" s="149">
        <f>SUM(D292:I292)</f>
        <v>328906</v>
      </c>
      <c r="K292" s="118"/>
      <c r="L292" s="117">
        <v>0</v>
      </c>
      <c r="M292" s="117"/>
      <c r="N292" s="117">
        <f>SUM(J292:M292)</f>
        <v>328906</v>
      </c>
      <c r="O292" s="119"/>
    </row>
    <row r="293" spans="1:15" ht="12.75" customHeight="1">
      <c r="A293" s="344"/>
      <c r="B293" s="335"/>
      <c r="C293" s="64" t="s">
        <v>435</v>
      </c>
      <c r="D293" s="117"/>
      <c r="E293" s="117"/>
      <c r="F293" s="117">
        <v>0</v>
      </c>
      <c r="G293" s="117"/>
      <c r="H293" s="117"/>
      <c r="I293" s="117">
        <v>350875</v>
      </c>
      <c r="J293" s="149">
        <f>SUM(D293:I293)</f>
        <v>350875</v>
      </c>
      <c r="K293" s="118"/>
      <c r="L293" s="117">
        <v>28798</v>
      </c>
      <c r="M293" s="117"/>
      <c r="N293" s="117">
        <f>SUM(J293:M293)</f>
        <v>379673</v>
      </c>
      <c r="O293" s="119"/>
    </row>
    <row r="294" spans="1:15" ht="12.75" customHeight="1">
      <c r="A294" s="344"/>
      <c r="B294" s="335"/>
      <c r="C294" s="64" t="s">
        <v>436</v>
      </c>
      <c r="D294" s="117"/>
      <c r="E294" s="117"/>
      <c r="F294" s="117">
        <v>0</v>
      </c>
      <c r="G294" s="117"/>
      <c r="H294" s="117">
        <v>0</v>
      </c>
      <c r="I294" s="117">
        <f>9006+330700</f>
        <v>339706</v>
      </c>
      <c r="J294" s="149">
        <f>SUM(D294:I294)</f>
        <v>339706</v>
      </c>
      <c r="K294" s="118"/>
      <c r="L294" s="117">
        <f>16115+10497</f>
        <v>26612</v>
      </c>
      <c r="M294" s="117"/>
      <c r="N294" s="117">
        <f>SUM(J294:M294)</f>
        <v>366318</v>
      </c>
      <c r="O294" s="119"/>
    </row>
    <row r="295" spans="1:15" ht="16.5" customHeight="1">
      <c r="A295" s="344"/>
      <c r="B295" s="335">
        <v>8</v>
      </c>
      <c r="C295" s="1299" t="s">
        <v>638</v>
      </c>
      <c r="D295" s="1300"/>
      <c r="E295" s="1300"/>
      <c r="F295" s="1301"/>
      <c r="G295" s="117"/>
      <c r="H295" s="117"/>
      <c r="I295" s="117"/>
      <c r="J295" s="149"/>
      <c r="K295" s="118"/>
      <c r="L295" s="117"/>
      <c r="M295" s="117"/>
      <c r="N295" s="117"/>
      <c r="O295" s="119"/>
    </row>
    <row r="296" spans="1:15" ht="12.75" customHeight="1">
      <c r="A296" s="344"/>
      <c r="B296" s="335"/>
      <c r="C296" s="64" t="s">
        <v>434</v>
      </c>
      <c r="D296" s="117"/>
      <c r="E296" s="117"/>
      <c r="F296" s="117"/>
      <c r="G296" s="117"/>
      <c r="H296" s="117">
        <v>0</v>
      </c>
      <c r="I296" s="117"/>
      <c r="J296" s="149">
        <f>SUM(D296:I296)</f>
        <v>0</v>
      </c>
      <c r="K296" s="118"/>
      <c r="L296" s="117"/>
      <c r="M296" s="117"/>
      <c r="N296" s="117">
        <f>SUM(J296:M296)</f>
        <v>0</v>
      </c>
      <c r="O296" s="119"/>
    </row>
    <row r="297" spans="1:15" ht="12.75" customHeight="1">
      <c r="A297" s="344"/>
      <c r="B297" s="335"/>
      <c r="C297" s="64" t="s">
        <v>435</v>
      </c>
      <c r="D297" s="117"/>
      <c r="E297" s="117"/>
      <c r="F297" s="117"/>
      <c r="G297" s="117"/>
      <c r="H297" s="117">
        <v>70</v>
      </c>
      <c r="I297" s="117">
        <v>34</v>
      </c>
      <c r="J297" s="149">
        <f>SUM(D297:I297)</f>
        <v>104</v>
      </c>
      <c r="K297" s="118"/>
      <c r="L297" s="117"/>
      <c r="M297" s="117"/>
      <c r="N297" s="117">
        <f>SUM(J297:M297)</f>
        <v>104</v>
      </c>
      <c r="O297" s="119"/>
    </row>
    <row r="298" spans="1:15" ht="12.75" customHeight="1">
      <c r="A298" s="344"/>
      <c r="B298" s="335"/>
      <c r="C298" s="64" t="s">
        <v>436</v>
      </c>
      <c r="D298" s="117"/>
      <c r="E298" s="117"/>
      <c r="F298" s="117"/>
      <c r="G298" s="117"/>
      <c r="H298" s="117">
        <v>70</v>
      </c>
      <c r="I298" s="117">
        <v>34</v>
      </c>
      <c r="J298" s="149">
        <f>SUM(D298:I298)</f>
        <v>104</v>
      </c>
      <c r="K298" s="118"/>
      <c r="L298" s="117"/>
      <c r="M298" s="117"/>
      <c r="N298" s="117">
        <f>SUM(J298:M298)</f>
        <v>104</v>
      </c>
      <c r="O298" s="119"/>
    </row>
    <row r="299" spans="1:15" ht="14.25" customHeight="1">
      <c r="A299" s="344"/>
      <c r="B299" s="335">
        <v>9</v>
      </c>
      <c r="C299" s="1299" t="s">
        <v>639</v>
      </c>
      <c r="D299" s="1300"/>
      <c r="E299" s="1300"/>
      <c r="F299" s="1301"/>
      <c r="G299" s="117"/>
      <c r="H299" s="117"/>
      <c r="I299" s="117"/>
      <c r="J299" s="149"/>
      <c r="K299" s="118"/>
      <c r="L299" s="117"/>
      <c r="M299" s="117"/>
      <c r="N299" s="117"/>
      <c r="O299" s="119"/>
    </row>
    <row r="300" spans="1:15" ht="12.75" customHeight="1">
      <c r="A300" s="344"/>
      <c r="B300" s="335"/>
      <c r="C300" s="64" t="s">
        <v>434</v>
      </c>
      <c r="D300" s="117"/>
      <c r="E300" s="117"/>
      <c r="F300" s="117"/>
      <c r="G300" s="117"/>
      <c r="H300" s="117">
        <v>0</v>
      </c>
      <c r="I300" s="117">
        <v>0</v>
      </c>
      <c r="J300" s="149">
        <v>0</v>
      </c>
      <c r="K300" s="118"/>
      <c r="L300" s="117"/>
      <c r="M300" s="117"/>
      <c r="N300" s="117">
        <v>0</v>
      </c>
      <c r="O300" s="119"/>
    </row>
    <row r="301" spans="1:15" ht="12.75" customHeight="1">
      <c r="A301" s="344"/>
      <c r="B301" s="335"/>
      <c r="C301" s="64" t="s">
        <v>435</v>
      </c>
      <c r="D301" s="117"/>
      <c r="E301" s="117"/>
      <c r="F301" s="117">
        <v>85</v>
      </c>
      <c r="G301" s="117"/>
      <c r="H301" s="117">
        <v>178</v>
      </c>
      <c r="I301" s="117">
        <v>390</v>
      </c>
      <c r="J301" s="149">
        <f>SUM(D301:I301)</f>
        <v>653</v>
      </c>
      <c r="K301" s="118"/>
      <c r="L301" s="117"/>
      <c r="M301" s="117"/>
      <c r="N301" s="117">
        <f>SUM(J301:M301)</f>
        <v>653</v>
      </c>
      <c r="O301" s="119"/>
    </row>
    <row r="302" spans="1:15" ht="12.75" customHeight="1">
      <c r="A302" s="344"/>
      <c r="B302" s="335"/>
      <c r="C302" s="64" t="s">
        <v>436</v>
      </c>
      <c r="D302" s="117"/>
      <c r="E302" s="117"/>
      <c r="F302" s="117">
        <f>12+36</f>
        <v>48</v>
      </c>
      <c r="G302" s="117"/>
      <c r="H302" s="117">
        <v>170</v>
      </c>
      <c r="I302" s="117">
        <v>367</v>
      </c>
      <c r="J302" s="149">
        <f>SUM(D302:I302)</f>
        <v>585</v>
      </c>
      <c r="K302" s="118"/>
      <c r="L302" s="117"/>
      <c r="M302" s="117"/>
      <c r="N302" s="117">
        <f>SUM(J302:M302)</f>
        <v>585</v>
      </c>
      <c r="O302" s="119"/>
    </row>
    <row r="303" spans="1:15" ht="15.75" customHeight="1">
      <c r="A303" s="344"/>
      <c r="B303" s="335">
        <v>10</v>
      </c>
      <c r="C303" s="1299" t="s">
        <v>640</v>
      </c>
      <c r="D303" s="1300"/>
      <c r="E303" s="1300"/>
      <c r="F303" s="1301"/>
      <c r="G303" s="117"/>
      <c r="H303" s="117"/>
      <c r="I303" s="117"/>
      <c r="J303" s="149"/>
      <c r="K303" s="118"/>
      <c r="L303" s="117"/>
      <c r="M303" s="117"/>
      <c r="N303" s="117"/>
      <c r="O303" s="119"/>
    </row>
    <row r="304" spans="1:15" ht="12.75" customHeight="1">
      <c r="A304" s="344"/>
      <c r="B304" s="335"/>
      <c r="C304" s="78" t="s">
        <v>434</v>
      </c>
      <c r="D304" s="117"/>
      <c r="E304" s="117"/>
      <c r="F304" s="117"/>
      <c r="G304" s="117"/>
      <c r="H304" s="117">
        <v>0</v>
      </c>
      <c r="I304" s="117"/>
      <c r="J304" s="149">
        <f>SUM(D304:I304)</f>
        <v>0</v>
      </c>
      <c r="K304" s="118"/>
      <c r="L304" s="117"/>
      <c r="M304" s="117"/>
      <c r="N304" s="117">
        <f>SUM(J304:M304)</f>
        <v>0</v>
      </c>
      <c r="O304" s="119"/>
    </row>
    <row r="305" spans="1:15" ht="12.75" customHeight="1">
      <c r="A305" s="344"/>
      <c r="B305" s="335"/>
      <c r="C305" s="64" t="s">
        <v>435</v>
      </c>
      <c r="D305" s="117"/>
      <c r="E305" s="117"/>
      <c r="F305" s="117"/>
      <c r="G305" s="117"/>
      <c r="H305" s="117">
        <v>20</v>
      </c>
      <c r="I305" s="117">
        <v>10</v>
      </c>
      <c r="J305" s="149">
        <f>SUM(D305:I305)</f>
        <v>30</v>
      </c>
      <c r="K305" s="118"/>
      <c r="L305" s="117"/>
      <c r="M305" s="117"/>
      <c r="N305" s="117">
        <f>SUM(J305:M305)</f>
        <v>30</v>
      </c>
      <c r="O305" s="119"/>
    </row>
    <row r="306" spans="1:15" ht="12.75" customHeight="1">
      <c r="A306" s="851"/>
      <c r="B306" s="338"/>
      <c r="C306" s="74" t="s">
        <v>436</v>
      </c>
      <c r="D306" s="120"/>
      <c r="E306" s="120"/>
      <c r="F306" s="120"/>
      <c r="G306" s="120"/>
      <c r="H306" s="120">
        <v>20</v>
      </c>
      <c r="I306" s="120">
        <v>0</v>
      </c>
      <c r="J306" s="161">
        <f>SUM(D306:I306)</f>
        <v>20</v>
      </c>
      <c r="K306" s="121"/>
      <c r="L306" s="120"/>
      <c r="M306" s="120"/>
      <c r="N306" s="120">
        <f>SUM(J306:M306)</f>
        <v>20</v>
      </c>
      <c r="O306" s="158"/>
    </row>
    <row r="307" spans="1:15" ht="12.75" customHeight="1">
      <c r="A307" s="344"/>
      <c r="B307" s="335">
        <v>11</v>
      </c>
      <c r="C307" s="446" t="s">
        <v>690</v>
      </c>
      <c r="D307" s="117"/>
      <c r="E307" s="117"/>
      <c r="F307" s="117"/>
      <c r="G307" s="117"/>
      <c r="H307" s="117"/>
      <c r="I307" s="117"/>
      <c r="J307" s="149"/>
      <c r="K307" s="118"/>
      <c r="L307" s="117"/>
      <c r="M307" s="117"/>
      <c r="N307" s="117"/>
      <c r="O307" s="119"/>
    </row>
    <row r="308" spans="1:15" ht="12.75" customHeight="1">
      <c r="A308" s="344"/>
      <c r="B308" s="335"/>
      <c r="C308" s="78" t="s">
        <v>434</v>
      </c>
      <c r="D308" s="117"/>
      <c r="E308" s="117"/>
      <c r="F308" s="117"/>
      <c r="G308" s="117"/>
      <c r="H308" s="117"/>
      <c r="I308" s="117"/>
      <c r="J308" s="149"/>
      <c r="K308" s="118"/>
      <c r="L308" s="117"/>
      <c r="M308" s="117"/>
      <c r="N308" s="117"/>
      <c r="O308" s="119"/>
    </row>
    <row r="309" spans="1:15" ht="12.75" customHeight="1">
      <c r="A309" s="344"/>
      <c r="B309" s="335"/>
      <c r="C309" s="64" t="s">
        <v>435</v>
      </c>
      <c r="D309" s="117"/>
      <c r="E309" s="117"/>
      <c r="F309" s="117">
        <v>0</v>
      </c>
      <c r="G309" s="117"/>
      <c r="H309" s="117">
        <v>360</v>
      </c>
      <c r="I309" s="117">
        <v>53</v>
      </c>
      <c r="J309" s="149">
        <f>SUM(D309:I309)</f>
        <v>413</v>
      </c>
      <c r="K309" s="118"/>
      <c r="L309" s="117"/>
      <c r="M309" s="117"/>
      <c r="N309" s="117">
        <f>SUM(J309:M309)</f>
        <v>413</v>
      </c>
      <c r="O309" s="119"/>
    </row>
    <row r="310" spans="1:15" ht="12.75" customHeight="1">
      <c r="A310" s="936"/>
      <c r="B310" s="347"/>
      <c r="C310" s="74" t="s">
        <v>436</v>
      </c>
      <c r="D310" s="146"/>
      <c r="E310" s="146"/>
      <c r="F310" s="146">
        <v>0</v>
      </c>
      <c r="G310" s="146"/>
      <c r="H310" s="146">
        <f>30+330</f>
        <v>360</v>
      </c>
      <c r="I310" s="146">
        <v>53</v>
      </c>
      <c r="J310" s="161">
        <f>SUM(D310:I310)</f>
        <v>413</v>
      </c>
      <c r="K310" s="148"/>
      <c r="L310" s="146"/>
      <c r="M310" s="146"/>
      <c r="N310" s="120">
        <f>SUM(J310:M310)</f>
        <v>413</v>
      </c>
      <c r="O310" s="144"/>
    </row>
    <row r="311" spans="1:15" ht="12.75" customHeight="1">
      <c r="A311" s="344"/>
      <c r="B311" s="335">
        <v>12</v>
      </c>
      <c r="C311" s="277" t="s">
        <v>432</v>
      </c>
      <c r="D311" s="117"/>
      <c r="E311" s="117"/>
      <c r="F311" s="117"/>
      <c r="G311" s="117"/>
      <c r="H311" s="117"/>
      <c r="I311" s="117"/>
      <c r="J311" s="149"/>
      <c r="K311" s="118"/>
      <c r="L311" s="117"/>
      <c r="M311" s="117"/>
      <c r="N311" s="117"/>
      <c r="O311" s="119"/>
    </row>
    <row r="312" spans="1:15" ht="12.75" customHeight="1">
      <c r="A312" s="344"/>
      <c r="B312" s="335"/>
      <c r="C312" s="64" t="s">
        <v>434</v>
      </c>
      <c r="D312" s="117"/>
      <c r="E312" s="117"/>
      <c r="F312" s="117"/>
      <c r="G312" s="117"/>
      <c r="H312" s="117">
        <v>0</v>
      </c>
      <c r="I312" s="117"/>
      <c r="J312" s="149">
        <f>SUM(D312:I312)</f>
        <v>0</v>
      </c>
      <c r="K312" s="118"/>
      <c r="L312" s="117"/>
      <c r="M312" s="117"/>
      <c r="N312" s="117">
        <f>SUM(J312:M312)</f>
        <v>0</v>
      </c>
      <c r="O312" s="119"/>
    </row>
    <row r="313" spans="1:15" ht="12.75" customHeight="1">
      <c r="A313" s="344"/>
      <c r="B313" s="335"/>
      <c r="C313" s="64" t="s">
        <v>435</v>
      </c>
      <c r="D313" s="117"/>
      <c r="E313" s="117"/>
      <c r="F313" s="117"/>
      <c r="G313" s="117"/>
      <c r="H313" s="117">
        <v>25</v>
      </c>
      <c r="I313" s="117"/>
      <c r="J313" s="149">
        <f>SUM(D313:I313)</f>
        <v>25</v>
      </c>
      <c r="K313" s="118"/>
      <c r="L313" s="117"/>
      <c r="M313" s="117"/>
      <c r="N313" s="117">
        <f>SUM(J313:M313)</f>
        <v>25</v>
      </c>
      <c r="O313" s="119"/>
    </row>
    <row r="314" spans="1:15" ht="12.75" customHeight="1">
      <c r="A314" s="344"/>
      <c r="B314" s="335"/>
      <c r="C314" s="64" t="s">
        <v>436</v>
      </c>
      <c r="D314" s="117"/>
      <c r="E314" s="117"/>
      <c r="F314" s="117"/>
      <c r="G314" s="117"/>
      <c r="H314" s="117">
        <v>25</v>
      </c>
      <c r="I314" s="117"/>
      <c r="J314" s="149">
        <f>SUM(D314:I314)</f>
        <v>25</v>
      </c>
      <c r="K314" s="118"/>
      <c r="L314" s="117"/>
      <c r="M314" s="117"/>
      <c r="N314" s="117">
        <f>SUM(J314:M314)</f>
        <v>25</v>
      </c>
      <c r="O314" s="119"/>
    </row>
    <row r="315" spans="1:15" ht="12.75" customHeight="1">
      <c r="A315" s="344"/>
      <c r="B315" s="335">
        <v>13</v>
      </c>
      <c r="C315" s="277" t="s">
        <v>955</v>
      </c>
      <c r="D315" s="117"/>
      <c r="E315" s="117"/>
      <c r="F315" s="117"/>
      <c r="G315" s="117"/>
      <c r="H315" s="117"/>
      <c r="I315" s="117"/>
      <c r="J315" s="149"/>
      <c r="K315" s="118"/>
      <c r="L315" s="117"/>
      <c r="M315" s="117"/>
      <c r="N315" s="117"/>
      <c r="O315" s="119"/>
    </row>
    <row r="316" spans="1:15" ht="12.75" customHeight="1">
      <c r="A316" s="344"/>
      <c r="B316" s="335"/>
      <c r="C316" s="64" t="s">
        <v>434</v>
      </c>
      <c r="D316" s="117"/>
      <c r="E316" s="117"/>
      <c r="F316" s="117"/>
      <c r="G316" s="117"/>
      <c r="H316" s="117"/>
      <c r="I316" s="117"/>
      <c r="J316" s="149"/>
      <c r="K316" s="118"/>
      <c r="L316" s="117"/>
      <c r="M316" s="117"/>
      <c r="N316" s="117"/>
      <c r="O316" s="119"/>
    </row>
    <row r="317" spans="1:15" ht="12.75" customHeight="1">
      <c r="A317" s="344"/>
      <c r="B317" s="335"/>
      <c r="C317" s="64" t="s">
        <v>435</v>
      </c>
      <c r="D317" s="117"/>
      <c r="E317" s="117"/>
      <c r="F317" s="117">
        <v>250</v>
      </c>
      <c r="G317" s="117"/>
      <c r="H317" s="117"/>
      <c r="I317" s="117"/>
      <c r="J317" s="149">
        <f>SUM(D317:I317)</f>
        <v>250</v>
      </c>
      <c r="K317" s="118"/>
      <c r="L317" s="117"/>
      <c r="M317" s="117"/>
      <c r="N317" s="117">
        <f>SUM(J317:M317)</f>
        <v>250</v>
      </c>
      <c r="O317" s="119"/>
    </row>
    <row r="318" spans="1:15" ht="12.75" customHeight="1">
      <c r="A318" s="344"/>
      <c r="B318" s="335"/>
      <c r="C318" s="64" t="s">
        <v>436</v>
      </c>
      <c r="D318" s="117"/>
      <c r="E318" s="117"/>
      <c r="F318" s="117">
        <v>250</v>
      </c>
      <c r="G318" s="117"/>
      <c r="H318" s="117"/>
      <c r="I318" s="117"/>
      <c r="J318" s="149">
        <f>SUM(D318:I318)</f>
        <v>250</v>
      </c>
      <c r="K318" s="118"/>
      <c r="L318" s="117"/>
      <c r="M318" s="117"/>
      <c r="N318" s="117">
        <f>SUM(J318:M318)</f>
        <v>250</v>
      </c>
      <c r="O318" s="119"/>
    </row>
    <row r="319" spans="1:15" ht="12.75" customHeight="1">
      <c r="A319" s="344"/>
      <c r="B319" s="335">
        <v>14</v>
      </c>
      <c r="C319" s="277" t="s">
        <v>734</v>
      </c>
      <c r="D319" s="117"/>
      <c r="E319" s="117"/>
      <c r="F319" s="117"/>
      <c r="G319" s="117"/>
      <c r="H319" s="117"/>
      <c r="I319" s="117"/>
      <c r="J319" s="149"/>
      <c r="K319" s="118"/>
      <c r="L319" s="117"/>
      <c r="M319" s="117"/>
      <c r="N319" s="117"/>
      <c r="O319" s="119"/>
    </row>
    <row r="320" spans="1:15" ht="12.75" customHeight="1">
      <c r="A320" s="344"/>
      <c r="B320" s="335"/>
      <c r="C320" s="64" t="s">
        <v>434</v>
      </c>
      <c r="D320" s="117"/>
      <c r="E320" s="117"/>
      <c r="F320" s="117"/>
      <c r="G320" s="117"/>
      <c r="H320" s="117"/>
      <c r="I320" s="117"/>
      <c r="J320" s="149">
        <f>SUM(D320:I320)</f>
        <v>0</v>
      </c>
      <c r="K320" s="118"/>
      <c r="L320" s="117"/>
      <c r="M320" s="117"/>
      <c r="N320" s="117">
        <f>SUM(J320:M320)</f>
        <v>0</v>
      </c>
      <c r="O320" s="119"/>
    </row>
    <row r="321" spans="1:15" ht="12.75" customHeight="1">
      <c r="A321" s="344"/>
      <c r="B321" s="335"/>
      <c r="C321" s="64" t="s">
        <v>435</v>
      </c>
      <c r="D321" s="117"/>
      <c r="E321" s="117"/>
      <c r="F321" s="117">
        <v>1500</v>
      </c>
      <c r="G321" s="117"/>
      <c r="H321" s="117"/>
      <c r="I321" s="117"/>
      <c r="J321" s="149">
        <f>SUM(D321:I321)</f>
        <v>1500</v>
      </c>
      <c r="K321" s="118">
        <v>3188</v>
      </c>
      <c r="L321" s="117"/>
      <c r="M321" s="117"/>
      <c r="N321" s="117">
        <f>SUM(J321:M321)</f>
        <v>4688</v>
      </c>
      <c r="O321" s="119"/>
    </row>
    <row r="322" spans="1:15" ht="12.75" customHeight="1">
      <c r="A322" s="344"/>
      <c r="B322" s="335"/>
      <c r="C322" s="64" t="s">
        <v>436</v>
      </c>
      <c r="D322" s="117"/>
      <c r="E322" s="117"/>
      <c r="F322" s="117">
        <f>933+268+300-1</f>
        <v>1500</v>
      </c>
      <c r="G322" s="117"/>
      <c r="H322" s="117"/>
      <c r="I322" s="117"/>
      <c r="J322" s="149">
        <f>SUM(D322:I322)</f>
        <v>1500</v>
      </c>
      <c r="K322" s="118">
        <f>2437+605+145+1</f>
        <v>3188</v>
      </c>
      <c r="L322" s="117"/>
      <c r="M322" s="117"/>
      <c r="N322" s="117">
        <f>SUM(J322:M322)</f>
        <v>4688</v>
      </c>
      <c r="O322" s="119"/>
    </row>
    <row r="323" spans="1:15" ht="23.25" customHeight="1">
      <c r="A323" s="344"/>
      <c r="B323" s="335">
        <v>15</v>
      </c>
      <c r="C323" s="1302" t="s">
        <v>509</v>
      </c>
      <c r="D323" s="1303"/>
      <c r="E323" s="1303"/>
      <c r="F323" s="1304"/>
      <c r="G323" s="117"/>
      <c r="H323" s="117"/>
      <c r="I323" s="117"/>
      <c r="J323" s="149"/>
      <c r="K323" s="118"/>
      <c r="L323" s="117"/>
      <c r="M323" s="117"/>
      <c r="N323" s="117"/>
      <c r="O323" s="119"/>
    </row>
    <row r="324" spans="1:15" ht="12.75" customHeight="1">
      <c r="A324" s="344"/>
      <c r="B324" s="335"/>
      <c r="C324" s="64" t="s">
        <v>434</v>
      </c>
      <c r="D324" s="117"/>
      <c r="E324" s="117"/>
      <c r="F324" s="117"/>
      <c r="G324" s="117"/>
      <c r="H324" s="117"/>
      <c r="I324" s="117"/>
      <c r="J324" s="149">
        <f>SUM(D324:I324)</f>
        <v>0</v>
      </c>
      <c r="K324" s="118"/>
      <c r="L324" s="117"/>
      <c r="M324" s="117"/>
      <c r="N324" s="117"/>
      <c r="O324" s="119"/>
    </row>
    <row r="325" spans="1:15" ht="12.75" customHeight="1">
      <c r="A325" s="344"/>
      <c r="B325" s="335"/>
      <c r="C325" s="64" t="s">
        <v>435</v>
      </c>
      <c r="D325" s="117"/>
      <c r="E325" s="117"/>
      <c r="F325" s="117"/>
      <c r="G325" s="117"/>
      <c r="H325" s="117"/>
      <c r="I325" s="117"/>
      <c r="J325" s="149">
        <f>SUM(D325:I325)</f>
        <v>0</v>
      </c>
      <c r="K325" s="118">
        <v>525</v>
      </c>
      <c r="L325" s="117"/>
      <c r="M325" s="117"/>
      <c r="N325" s="117">
        <f>SUM(J325:M325)</f>
        <v>525</v>
      </c>
      <c r="O325" s="119"/>
    </row>
    <row r="326" spans="1:15" ht="12.75" customHeight="1" thickBot="1">
      <c r="A326" s="936"/>
      <c r="B326" s="347"/>
      <c r="C326" s="432" t="s">
        <v>436</v>
      </c>
      <c r="D326" s="146"/>
      <c r="E326" s="146"/>
      <c r="F326" s="146"/>
      <c r="G326" s="146"/>
      <c r="H326" s="146"/>
      <c r="I326" s="146"/>
      <c r="J326" s="147">
        <f>SUM(D326:I326)</f>
        <v>0</v>
      </c>
      <c r="K326" s="148">
        <v>525</v>
      </c>
      <c r="L326" s="146"/>
      <c r="M326" s="146"/>
      <c r="N326" s="146">
        <f>SUM(J326:M326)</f>
        <v>525</v>
      </c>
      <c r="O326" s="144"/>
    </row>
    <row r="327" spans="1:15" ht="12.75" customHeight="1">
      <c r="A327" s="332">
        <v>23</v>
      </c>
      <c r="B327" s="1098"/>
      <c r="C327" s="86" t="s">
        <v>296</v>
      </c>
      <c r="D327" s="139"/>
      <c r="E327" s="139"/>
      <c r="F327" s="139"/>
      <c r="G327" s="139"/>
      <c r="H327" s="139"/>
      <c r="I327" s="139"/>
      <c r="J327" s="140"/>
      <c r="K327" s="141"/>
      <c r="L327" s="139"/>
      <c r="M327" s="139"/>
      <c r="N327" s="139"/>
      <c r="O327" s="140"/>
    </row>
    <row r="328" spans="1:15" ht="12.75" customHeight="1">
      <c r="A328" s="344"/>
      <c r="B328" s="116"/>
      <c r="C328" s="67" t="s">
        <v>434</v>
      </c>
      <c r="D328" s="156">
        <f aca="true" t="shared" si="26" ref="D328:I328">D332+D336+D340+D344+D360+D364+D348+D352+D356</f>
        <v>420</v>
      </c>
      <c r="E328" s="156">
        <f t="shared" si="26"/>
        <v>63</v>
      </c>
      <c r="F328" s="156">
        <f t="shared" si="26"/>
        <v>1300</v>
      </c>
      <c r="G328" s="156">
        <f t="shared" si="26"/>
        <v>0</v>
      </c>
      <c r="H328" s="156">
        <f t="shared" si="26"/>
        <v>1050</v>
      </c>
      <c r="I328" s="156">
        <f t="shared" si="26"/>
        <v>21848</v>
      </c>
      <c r="J328" s="157">
        <f>SUM(D328:I328)</f>
        <v>24681</v>
      </c>
      <c r="K328" s="156">
        <f>K332+K336+K340+K344+K360+K364+K348+K352+K356</f>
        <v>0</v>
      </c>
      <c r="L328" s="156">
        <f>L332+L336+L340+L344+L360+L364+L348+L352+L356</f>
        <v>0</v>
      </c>
      <c r="M328" s="156">
        <f>M332+M336+M340+M344+M360+M364+M348+M352+M356</f>
        <v>0</v>
      </c>
      <c r="N328" s="156">
        <f>SUM(J328:M328)</f>
        <v>24681</v>
      </c>
      <c r="O328" s="157"/>
    </row>
    <row r="329" spans="1:15" ht="12.75" customHeight="1">
      <c r="A329" s="344"/>
      <c r="B329" s="116"/>
      <c r="C329" s="67" t="s">
        <v>435</v>
      </c>
      <c r="D329" s="156">
        <f aca="true" t="shared" si="27" ref="D329:I330">D333+D337+D341+D345+D361+D365+D349+D353+D357</f>
        <v>498</v>
      </c>
      <c r="E329" s="156">
        <f t="shared" si="27"/>
        <v>79</v>
      </c>
      <c r="F329" s="156">
        <f t="shared" si="27"/>
        <v>6070</v>
      </c>
      <c r="G329" s="156">
        <f t="shared" si="27"/>
        <v>0</v>
      </c>
      <c r="H329" s="156">
        <f t="shared" si="27"/>
        <v>986</v>
      </c>
      <c r="I329" s="156">
        <f t="shared" si="27"/>
        <v>16972</v>
      </c>
      <c r="J329" s="157">
        <f>SUM(D329:I329)</f>
        <v>24605</v>
      </c>
      <c r="K329" s="156">
        <f aca="true" t="shared" si="28" ref="K329:M330">K333+K337+K341+K345+K361+K365+K349+K353+K357</f>
        <v>60000</v>
      </c>
      <c r="L329" s="156">
        <f t="shared" si="28"/>
        <v>154</v>
      </c>
      <c r="M329" s="156">
        <f t="shared" si="28"/>
        <v>0</v>
      </c>
      <c r="N329" s="156">
        <f>SUM(J329:M329)</f>
        <v>84759</v>
      </c>
      <c r="O329" s="157"/>
    </row>
    <row r="330" spans="1:15" ht="12.75" customHeight="1">
      <c r="A330" s="344"/>
      <c r="B330" s="116"/>
      <c r="C330" s="67" t="s">
        <v>436</v>
      </c>
      <c r="D330" s="156">
        <f t="shared" si="27"/>
        <v>468</v>
      </c>
      <c r="E330" s="156">
        <f t="shared" si="27"/>
        <v>59</v>
      </c>
      <c r="F330" s="156">
        <f t="shared" si="27"/>
        <v>5175</v>
      </c>
      <c r="G330" s="156">
        <f t="shared" si="27"/>
        <v>0</v>
      </c>
      <c r="H330" s="156">
        <f t="shared" si="27"/>
        <v>450</v>
      </c>
      <c r="I330" s="156">
        <f t="shared" si="27"/>
        <v>15819</v>
      </c>
      <c r="J330" s="157">
        <f>SUM(D330:I330)</f>
        <v>21971</v>
      </c>
      <c r="K330" s="156">
        <f t="shared" si="28"/>
        <v>0</v>
      </c>
      <c r="L330" s="156">
        <f t="shared" si="28"/>
        <v>0</v>
      </c>
      <c r="M330" s="156">
        <f t="shared" si="28"/>
        <v>0</v>
      </c>
      <c r="N330" s="156">
        <f>SUM(J330:M330)</f>
        <v>21971</v>
      </c>
      <c r="O330" s="157"/>
    </row>
    <row r="331" spans="1:15" ht="12.75" customHeight="1">
      <c r="A331" s="344"/>
      <c r="B331" s="335" t="s">
        <v>109</v>
      </c>
      <c r="C331" s="87" t="s">
        <v>227</v>
      </c>
      <c r="D331" s="117"/>
      <c r="E331" s="117"/>
      <c r="F331" s="117"/>
      <c r="G331" s="117"/>
      <c r="H331" s="117"/>
      <c r="I331" s="117"/>
      <c r="J331" s="149"/>
      <c r="K331" s="118"/>
      <c r="L331" s="117"/>
      <c r="M331" s="117"/>
      <c r="N331" s="117"/>
      <c r="O331" s="133"/>
    </row>
    <row r="332" spans="1:15" ht="12.75" customHeight="1">
      <c r="A332" s="344"/>
      <c r="B332" s="335"/>
      <c r="C332" s="64" t="s">
        <v>434</v>
      </c>
      <c r="D332" s="117"/>
      <c r="E332" s="117"/>
      <c r="F332" s="117">
        <v>1000</v>
      </c>
      <c r="G332" s="117"/>
      <c r="H332" s="117"/>
      <c r="I332" s="117"/>
      <c r="J332" s="149">
        <f>SUM(F332:H332)</f>
        <v>1000</v>
      </c>
      <c r="K332" s="118"/>
      <c r="L332" s="117">
        <v>0</v>
      </c>
      <c r="M332" s="117"/>
      <c r="N332" s="117">
        <f>SUM(J332:M332)</f>
        <v>1000</v>
      </c>
      <c r="O332" s="133"/>
    </row>
    <row r="333" spans="1:15" ht="12.75" customHeight="1">
      <c r="A333" s="344"/>
      <c r="B333" s="335"/>
      <c r="C333" s="78" t="s">
        <v>435</v>
      </c>
      <c r="D333" s="112"/>
      <c r="E333" s="112"/>
      <c r="F333" s="112">
        <v>1000</v>
      </c>
      <c r="G333" s="112"/>
      <c r="H333" s="112"/>
      <c r="I333" s="112"/>
      <c r="J333" s="113">
        <f>SUM(F333:H333)</f>
        <v>1000</v>
      </c>
      <c r="K333" s="114"/>
      <c r="L333" s="112">
        <v>154</v>
      </c>
      <c r="M333" s="112"/>
      <c r="N333" s="112">
        <f>SUM(J333:M333)</f>
        <v>1154</v>
      </c>
      <c r="O333" s="138"/>
    </row>
    <row r="334" spans="1:15" ht="12.75" customHeight="1">
      <c r="A334" s="344"/>
      <c r="B334" s="335"/>
      <c r="C334" s="64" t="s">
        <v>436</v>
      </c>
      <c r="D334" s="117"/>
      <c r="E334" s="117"/>
      <c r="F334" s="117">
        <v>0</v>
      </c>
      <c r="G334" s="117"/>
      <c r="H334" s="117"/>
      <c r="I334" s="117"/>
      <c r="J334" s="149">
        <f>SUM(F334:H334)</f>
        <v>0</v>
      </c>
      <c r="K334" s="118"/>
      <c r="L334" s="117">
        <v>0</v>
      </c>
      <c r="M334" s="117"/>
      <c r="N334" s="117">
        <f>SUM(J334:M334)</f>
        <v>0</v>
      </c>
      <c r="O334" s="133"/>
    </row>
    <row r="335" spans="1:15" ht="12.75" customHeight="1">
      <c r="A335" s="344"/>
      <c r="B335" s="335" t="s">
        <v>111</v>
      </c>
      <c r="C335" s="65" t="s">
        <v>388</v>
      </c>
      <c r="D335" s="117"/>
      <c r="E335" s="117"/>
      <c r="F335" s="117"/>
      <c r="G335" s="117"/>
      <c r="H335" s="117"/>
      <c r="I335" s="117"/>
      <c r="J335" s="149"/>
      <c r="K335" s="118"/>
      <c r="L335" s="117"/>
      <c r="M335" s="117"/>
      <c r="N335" s="117"/>
      <c r="O335" s="133"/>
    </row>
    <row r="336" spans="1:15" ht="12.75" customHeight="1">
      <c r="A336" s="344"/>
      <c r="B336" s="335"/>
      <c r="C336" s="78" t="s">
        <v>434</v>
      </c>
      <c r="D336" s="112"/>
      <c r="E336" s="112"/>
      <c r="F336" s="112"/>
      <c r="G336" s="112"/>
      <c r="H336" s="112">
        <v>400</v>
      </c>
      <c r="I336" s="112"/>
      <c r="J336" s="113">
        <f>SUM(D336:H336)</f>
        <v>400</v>
      </c>
      <c r="K336" s="114"/>
      <c r="L336" s="112"/>
      <c r="M336" s="112"/>
      <c r="N336" s="112">
        <f>SUM(J336:M336)</f>
        <v>400</v>
      </c>
      <c r="O336" s="133"/>
    </row>
    <row r="337" spans="1:15" ht="12.75" customHeight="1">
      <c r="A337" s="344"/>
      <c r="B337" s="335"/>
      <c r="C337" s="64" t="s">
        <v>435</v>
      </c>
      <c r="D337" s="117"/>
      <c r="E337" s="117"/>
      <c r="F337" s="117"/>
      <c r="G337" s="117"/>
      <c r="H337" s="117">
        <v>400</v>
      </c>
      <c r="I337" s="117"/>
      <c r="J337" s="149">
        <f>SUM(D337:H337)</f>
        <v>400</v>
      </c>
      <c r="K337" s="118"/>
      <c r="L337" s="117"/>
      <c r="M337" s="117"/>
      <c r="N337" s="117">
        <f>SUM(J337:M337)</f>
        <v>400</v>
      </c>
      <c r="O337" s="133"/>
    </row>
    <row r="338" spans="1:15" ht="12.75" customHeight="1">
      <c r="A338" s="344"/>
      <c r="B338" s="335"/>
      <c r="C338" s="64" t="s">
        <v>436</v>
      </c>
      <c r="D338" s="117"/>
      <c r="E338" s="117"/>
      <c r="F338" s="117"/>
      <c r="G338" s="117"/>
      <c r="H338" s="117">
        <v>400</v>
      </c>
      <c r="I338" s="117"/>
      <c r="J338" s="149">
        <f>SUM(D338:H338)</f>
        <v>400</v>
      </c>
      <c r="K338" s="118"/>
      <c r="L338" s="117"/>
      <c r="M338" s="117"/>
      <c r="N338" s="117">
        <f>SUM(J338:M338)</f>
        <v>400</v>
      </c>
      <c r="O338" s="133"/>
    </row>
    <row r="339" spans="1:15" ht="12.75" customHeight="1">
      <c r="A339" s="344"/>
      <c r="B339" s="335" t="s">
        <v>113</v>
      </c>
      <c r="C339" s="70" t="s">
        <v>647</v>
      </c>
      <c r="D339" s="117"/>
      <c r="E339" s="117"/>
      <c r="F339" s="117"/>
      <c r="G339" s="117"/>
      <c r="H339" s="117"/>
      <c r="I339" s="117"/>
      <c r="J339" s="149"/>
      <c r="K339" s="118"/>
      <c r="L339" s="117"/>
      <c r="M339" s="117"/>
      <c r="N339" s="117"/>
      <c r="O339" s="133"/>
    </row>
    <row r="340" spans="1:15" ht="12.75" customHeight="1">
      <c r="A340" s="344"/>
      <c r="B340" s="335"/>
      <c r="C340" s="64" t="s">
        <v>434</v>
      </c>
      <c r="D340" s="117">
        <v>420</v>
      </c>
      <c r="E340" s="117">
        <v>63</v>
      </c>
      <c r="F340" s="117">
        <v>300</v>
      </c>
      <c r="G340" s="117"/>
      <c r="H340" s="117"/>
      <c r="I340" s="117"/>
      <c r="J340" s="149">
        <f>SUM(D340:H340)</f>
        <v>783</v>
      </c>
      <c r="K340" s="118"/>
      <c r="L340" s="117"/>
      <c r="M340" s="117"/>
      <c r="N340" s="117">
        <f>SUM(J340:M340)</f>
        <v>783</v>
      </c>
      <c r="O340" s="133"/>
    </row>
    <row r="341" spans="1:15" ht="12.75" customHeight="1">
      <c r="A341" s="344"/>
      <c r="B341" s="335"/>
      <c r="C341" s="64" t="s">
        <v>435</v>
      </c>
      <c r="D341" s="117">
        <v>270</v>
      </c>
      <c r="E341" s="117">
        <v>43</v>
      </c>
      <c r="F341" s="117">
        <v>553</v>
      </c>
      <c r="G341" s="117"/>
      <c r="H341" s="117"/>
      <c r="I341" s="117"/>
      <c r="J341" s="149">
        <f>SUM(D341:H341)</f>
        <v>866</v>
      </c>
      <c r="K341" s="118"/>
      <c r="L341" s="117"/>
      <c r="M341" s="117"/>
      <c r="N341" s="117">
        <f>SUM(J341:M341)</f>
        <v>866</v>
      </c>
      <c r="O341" s="133"/>
    </row>
    <row r="342" spans="1:15" ht="12.75" customHeight="1">
      <c r="A342" s="344"/>
      <c r="B342" s="335"/>
      <c r="C342" s="64" t="s">
        <v>436</v>
      </c>
      <c r="D342" s="117">
        <v>240</v>
      </c>
      <c r="E342" s="117">
        <v>24</v>
      </c>
      <c r="F342" s="117">
        <f>314+344</f>
        <v>658</v>
      </c>
      <c r="G342" s="117"/>
      <c r="H342" s="117"/>
      <c r="I342" s="117"/>
      <c r="J342" s="149">
        <f>SUM(D342:H342)</f>
        <v>922</v>
      </c>
      <c r="K342" s="118"/>
      <c r="L342" s="117"/>
      <c r="M342" s="117"/>
      <c r="N342" s="117">
        <f>SUM(J342:M342)</f>
        <v>922</v>
      </c>
      <c r="O342" s="133"/>
    </row>
    <row r="343" spans="1:15" ht="12.75" customHeight="1">
      <c r="A343" s="344"/>
      <c r="B343" s="335" t="s">
        <v>115</v>
      </c>
      <c r="C343" s="70" t="s">
        <v>389</v>
      </c>
      <c r="D343" s="116"/>
      <c r="E343" s="117"/>
      <c r="F343" s="117"/>
      <c r="G343" s="117"/>
      <c r="H343" s="117"/>
      <c r="I343" s="117"/>
      <c r="J343" s="149"/>
      <c r="K343" s="118"/>
      <c r="L343" s="117"/>
      <c r="M343" s="117"/>
      <c r="N343" s="117"/>
      <c r="O343" s="133"/>
    </row>
    <row r="344" spans="1:15" ht="12.75" customHeight="1">
      <c r="A344" s="344"/>
      <c r="B344" s="335"/>
      <c r="C344" s="64" t="s">
        <v>434</v>
      </c>
      <c r="D344" s="116"/>
      <c r="E344" s="117"/>
      <c r="F344" s="117">
        <v>0</v>
      </c>
      <c r="G344" s="117"/>
      <c r="H344" s="117">
        <v>0</v>
      </c>
      <c r="I344" s="117">
        <v>15416</v>
      </c>
      <c r="J344" s="149">
        <f>SUM(D344:H344)</f>
        <v>0</v>
      </c>
      <c r="K344" s="118"/>
      <c r="L344" s="117"/>
      <c r="M344" s="117"/>
      <c r="N344" s="117">
        <f>SUM(J344:M344)</f>
        <v>0</v>
      </c>
      <c r="O344" s="133"/>
    </row>
    <row r="345" spans="1:15" ht="12.75" customHeight="1">
      <c r="A345" s="344"/>
      <c r="B345" s="335"/>
      <c r="C345" s="64" t="s">
        <v>435</v>
      </c>
      <c r="D345" s="116"/>
      <c r="E345" s="117"/>
      <c r="F345" s="117">
        <v>0</v>
      </c>
      <c r="G345" s="117"/>
      <c r="H345" s="117">
        <v>0</v>
      </c>
      <c r="I345" s="117">
        <v>10386</v>
      </c>
      <c r="J345" s="149">
        <f>SUM(D345:I345)</f>
        <v>10386</v>
      </c>
      <c r="K345" s="118"/>
      <c r="L345" s="117">
        <v>0</v>
      </c>
      <c r="M345" s="117"/>
      <c r="N345" s="117">
        <f>SUM(J345:M345)</f>
        <v>10386</v>
      </c>
      <c r="O345" s="133"/>
    </row>
    <row r="346" spans="1:15" ht="12.75" customHeight="1">
      <c r="A346" s="344"/>
      <c r="B346" s="335"/>
      <c r="C346" s="64" t="s">
        <v>436</v>
      </c>
      <c r="D346" s="116"/>
      <c r="E346" s="117"/>
      <c r="F346" s="117">
        <v>0</v>
      </c>
      <c r="G346" s="117"/>
      <c r="H346" s="117">
        <v>0</v>
      </c>
      <c r="I346" s="117">
        <v>9655</v>
      </c>
      <c r="J346" s="149">
        <f>SUM(D346:I346)</f>
        <v>9655</v>
      </c>
      <c r="K346" s="118"/>
      <c r="L346" s="117">
        <v>0</v>
      </c>
      <c r="M346" s="117"/>
      <c r="N346" s="117">
        <f>SUM(J346:M346)</f>
        <v>9655</v>
      </c>
      <c r="O346" s="133"/>
    </row>
    <row r="347" spans="1:15" ht="17.25" customHeight="1">
      <c r="A347" s="344"/>
      <c r="B347" s="335" t="s">
        <v>117</v>
      </c>
      <c r="C347" s="1302" t="s">
        <v>457</v>
      </c>
      <c r="D347" s="1303"/>
      <c r="E347" s="1303"/>
      <c r="F347" s="1304"/>
      <c r="G347" s="117"/>
      <c r="H347" s="117"/>
      <c r="I347" s="117"/>
      <c r="J347" s="149"/>
      <c r="K347" s="118"/>
      <c r="L347" s="117"/>
      <c r="M347" s="117"/>
      <c r="N347" s="117"/>
      <c r="O347" s="133"/>
    </row>
    <row r="348" spans="1:15" ht="12.75" customHeight="1">
      <c r="A348" s="344"/>
      <c r="B348" s="335"/>
      <c r="C348" s="64" t="s">
        <v>434</v>
      </c>
      <c r="D348" s="116"/>
      <c r="E348" s="117"/>
      <c r="F348" s="117"/>
      <c r="G348" s="117"/>
      <c r="H348" s="117">
        <v>0</v>
      </c>
      <c r="I348" s="117">
        <v>6432</v>
      </c>
      <c r="J348" s="149">
        <f>SUM(D348:I348)</f>
        <v>6432</v>
      </c>
      <c r="K348" s="118"/>
      <c r="L348" s="117"/>
      <c r="M348" s="117"/>
      <c r="N348" s="117">
        <f>SUM(J348:M348)</f>
        <v>6432</v>
      </c>
      <c r="O348" s="133"/>
    </row>
    <row r="349" spans="1:15" ht="12.75" customHeight="1">
      <c r="A349" s="344"/>
      <c r="B349" s="335"/>
      <c r="C349" s="64" t="s">
        <v>435</v>
      </c>
      <c r="D349" s="116"/>
      <c r="E349" s="117"/>
      <c r="F349" s="117"/>
      <c r="G349" s="117"/>
      <c r="H349" s="117">
        <v>0</v>
      </c>
      <c r="I349" s="117">
        <v>6586</v>
      </c>
      <c r="J349" s="149">
        <f aca="true" t="shared" si="29" ref="J349:J358">SUM(D349:I349)</f>
        <v>6586</v>
      </c>
      <c r="K349" s="118"/>
      <c r="L349" s="117"/>
      <c r="M349" s="117"/>
      <c r="N349" s="117">
        <f>SUM(J349:M349)</f>
        <v>6586</v>
      </c>
      <c r="O349" s="133"/>
    </row>
    <row r="350" spans="1:15" ht="12.75" customHeight="1">
      <c r="A350" s="344"/>
      <c r="B350" s="335"/>
      <c r="C350" s="64" t="s">
        <v>436</v>
      </c>
      <c r="D350" s="116"/>
      <c r="E350" s="117"/>
      <c r="F350" s="117"/>
      <c r="G350" s="117"/>
      <c r="H350" s="117">
        <v>0</v>
      </c>
      <c r="I350" s="117">
        <v>6164</v>
      </c>
      <c r="J350" s="149">
        <f t="shared" si="29"/>
        <v>6164</v>
      </c>
      <c r="K350" s="118"/>
      <c r="L350" s="117"/>
      <c r="M350" s="117"/>
      <c r="N350" s="117">
        <f>SUM(J350:M350)</f>
        <v>6164</v>
      </c>
      <c r="O350" s="133"/>
    </row>
    <row r="351" spans="1:15" ht="12.75" customHeight="1">
      <c r="A351" s="344"/>
      <c r="B351" s="335" t="s">
        <v>119</v>
      </c>
      <c r="C351" s="64" t="s">
        <v>500</v>
      </c>
      <c r="D351" s="116"/>
      <c r="E351" s="117"/>
      <c r="F351" s="117"/>
      <c r="G351" s="117"/>
      <c r="H351" s="117"/>
      <c r="I351" s="117"/>
      <c r="J351" s="149"/>
      <c r="K351" s="118"/>
      <c r="L351" s="117"/>
      <c r="M351" s="117"/>
      <c r="N351" s="117"/>
      <c r="O351" s="133"/>
    </row>
    <row r="352" spans="1:15" ht="12.75" customHeight="1">
      <c r="A352" s="344"/>
      <c r="B352" s="335"/>
      <c r="C352" s="64" t="s">
        <v>434</v>
      </c>
      <c r="D352" s="116"/>
      <c r="E352" s="117"/>
      <c r="F352" s="117"/>
      <c r="G352" s="117"/>
      <c r="H352" s="117">
        <v>600</v>
      </c>
      <c r="I352" s="117"/>
      <c r="J352" s="149">
        <f t="shared" si="29"/>
        <v>600</v>
      </c>
      <c r="K352" s="118"/>
      <c r="L352" s="117"/>
      <c r="M352" s="117"/>
      <c r="N352" s="117">
        <f>SUM(J352:M352)</f>
        <v>600</v>
      </c>
      <c r="O352" s="133"/>
    </row>
    <row r="353" spans="1:15" ht="12.75" customHeight="1">
      <c r="A353" s="344"/>
      <c r="B353" s="335"/>
      <c r="C353" s="64" t="s">
        <v>435</v>
      </c>
      <c r="D353" s="116">
        <v>228</v>
      </c>
      <c r="E353" s="117">
        <v>36</v>
      </c>
      <c r="F353" s="117"/>
      <c r="G353" s="117"/>
      <c r="H353" s="117">
        <v>536</v>
      </c>
      <c r="I353" s="117"/>
      <c r="J353" s="149">
        <f t="shared" si="29"/>
        <v>800</v>
      </c>
      <c r="K353" s="118"/>
      <c r="L353" s="117"/>
      <c r="M353" s="117"/>
      <c r="N353" s="117">
        <f>SUM(J353:M353)</f>
        <v>800</v>
      </c>
      <c r="O353" s="133"/>
    </row>
    <row r="354" spans="1:15" ht="12.75" customHeight="1">
      <c r="A354" s="344"/>
      <c r="B354" s="335"/>
      <c r="C354" s="64" t="s">
        <v>436</v>
      </c>
      <c r="D354" s="116">
        <v>228</v>
      </c>
      <c r="E354" s="117">
        <v>35</v>
      </c>
      <c r="F354" s="117"/>
      <c r="G354" s="117"/>
      <c r="H354" s="117">
        <v>0</v>
      </c>
      <c r="I354" s="117"/>
      <c r="J354" s="149">
        <f t="shared" si="29"/>
        <v>263</v>
      </c>
      <c r="K354" s="118"/>
      <c r="L354" s="117"/>
      <c r="M354" s="117"/>
      <c r="N354" s="117">
        <f>SUM(J354:M354)</f>
        <v>263</v>
      </c>
      <c r="O354" s="133"/>
    </row>
    <row r="355" spans="1:15" ht="12.75" customHeight="1">
      <c r="A355" s="344"/>
      <c r="B355" s="335" t="s">
        <v>121</v>
      </c>
      <c r="C355" s="903" t="s">
        <v>510</v>
      </c>
      <c r="D355" s="116"/>
      <c r="E355" s="117"/>
      <c r="F355" s="117"/>
      <c r="G355" s="117"/>
      <c r="H355" s="117"/>
      <c r="I355" s="117"/>
      <c r="J355" s="149"/>
      <c r="K355" s="118"/>
      <c r="L355" s="117"/>
      <c r="M355" s="117"/>
      <c r="N355" s="117"/>
      <c r="O355" s="133"/>
    </row>
    <row r="356" spans="1:15" ht="12.75" customHeight="1">
      <c r="A356" s="344"/>
      <c r="B356" s="335"/>
      <c r="C356" s="64" t="s">
        <v>434</v>
      </c>
      <c r="D356" s="116"/>
      <c r="E356" s="117"/>
      <c r="F356" s="117"/>
      <c r="G356" s="117"/>
      <c r="H356" s="117">
        <v>50</v>
      </c>
      <c r="I356" s="117"/>
      <c r="J356" s="149">
        <f t="shared" si="29"/>
        <v>50</v>
      </c>
      <c r="K356" s="118"/>
      <c r="L356" s="117"/>
      <c r="M356" s="117"/>
      <c r="N356" s="117">
        <f>SUM(J356:M356)</f>
        <v>50</v>
      </c>
      <c r="O356" s="133"/>
    </row>
    <row r="357" spans="1:15" ht="12.75" customHeight="1">
      <c r="A357" s="344"/>
      <c r="B357" s="335"/>
      <c r="C357" s="64" t="s">
        <v>435</v>
      </c>
      <c r="D357" s="116"/>
      <c r="E357" s="117"/>
      <c r="F357" s="117"/>
      <c r="G357" s="117"/>
      <c r="H357" s="117">
        <v>50</v>
      </c>
      <c r="I357" s="117"/>
      <c r="J357" s="149">
        <f t="shared" si="29"/>
        <v>50</v>
      </c>
      <c r="K357" s="118"/>
      <c r="L357" s="117"/>
      <c r="M357" s="117"/>
      <c r="N357" s="117">
        <f>SUM(J357:M357)</f>
        <v>50</v>
      </c>
      <c r="O357" s="133"/>
    </row>
    <row r="358" spans="1:15" ht="12.75" customHeight="1">
      <c r="A358" s="344"/>
      <c r="B358" s="335"/>
      <c r="C358" s="64" t="s">
        <v>436</v>
      </c>
      <c r="D358" s="116"/>
      <c r="E358" s="117"/>
      <c r="F358" s="117"/>
      <c r="G358" s="117"/>
      <c r="H358" s="117">
        <v>50</v>
      </c>
      <c r="I358" s="117"/>
      <c r="J358" s="149">
        <f t="shared" si="29"/>
        <v>50</v>
      </c>
      <c r="K358" s="118"/>
      <c r="L358" s="117"/>
      <c r="M358" s="117"/>
      <c r="N358" s="117">
        <f>SUM(J358:M358)</f>
        <v>50</v>
      </c>
      <c r="O358" s="133"/>
    </row>
    <row r="359" spans="1:15" ht="13.5" customHeight="1">
      <c r="A359" s="344"/>
      <c r="B359" s="335" t="s">
        <v>122</v>
      </c>
      <c r="C359" s="905" t="s">
        <v>511</v>
      </c>
      <c r="D359" s="116"/>
      <c r="E359" s="117"/>
      <c r="F359" s="117"/>
      <c r="G359" s="117"/>
      <c r="H359" s="117"/>
      <c r="I359" s="117"/>
      <c r="J359" s="149"/>
      <c r="K359" s="118"/>
      <c r="L359" s="117"/>
      <c r="M359" s="117"/>
      <c r="N359" s="117"/>
      <c r="O359" s="133"/>
    </row>
    <row r="360" spans="1:15" ht="12.75" customHeight="1">
      <c r="A360" s="344"/>
      <c r="B360" s="335"/>
      <c r="C360" s="64" t="s">
        <v>434</v>
      </c>
      <c r="D360" s="116"/>
      <c r="E360" s="117"/>
      <c r="F360" s="117"/>
      <c r="G360" s="117"/>
      <c r="H360" s="117">
        <v>0</v>
      </c>
      <c r="I360" s="117">
        <v>0</v>
      </c>
      <c r="J360" s="149">
        <f>SUM(D360:I360)</f>
        <v>0</v>
      </c>
      <c r="K360" s="118">
        <f>35-35</f>
        <v>0</v>
      </c>
      <c r="L360" s="117"/>
      <c r="M360" s="117"/>
      <c r="N360" s="117">
        <f>SUM(J360:M360)</f>
        <v>0</v>
      </c>
      <c r="O360" s="133"/>
    </row>
    <row r="361" spans="1:15" ht="12.75" customHeight="1">
      <c r="A361" s="344"/>
      <c r="B361" s="335"/>
      <c r="C361" s="64" t="s">
        <v>435</v>
      </c>
      <c r="D361" s="116"/>
      <c r="E361" s="117"/>
      <c r="F361" s="117">
        <v>4517</v>
      </c>
      <c r="G361" s="117"/>
      <c r="H361" s="117">
        <v>0</v>
      </c>
      <c r="I361" s="117">
        <v>0</v>
      </c>
      <c r="J361" s="149">
        <f>SUM(D361:I361)</f>
        <v>4517</v>
      </c>
      <c r="K361" s="118"/>
      <c r="L361" s="117"/>
      <c r="M361" s="117"/>
      <c r="N361" s="117">
        <f>SUM(J361:M361)</f>
        <v>4517</v>
      </c>
      <c r="O361" s="133"/>
    </row>
    <row r="362" spans="1:15" ht="12.75" customHeight="1">
      <c r="A362" s="344"/>
      <c r="B362" s="335"/>
      <c r="C362" s="64" t="s">
        <v>436</v>
      </c>
      <c r="D362" s="116"/>
      <c r="E362" s="117"/>
      <c r="F362" s="117">
        <v>4517</v>
      </c>
      <c r="G362" s="117"/>
      <c r="H362" s="117">
        <v>0</v>
      </c>
      <c r="I362" s="117">
        <v>0</v>
      </c>
      <c r="J362" s="149">
        <f>SUM(D362:I362)</f>
        <v>4517</v>
      </c>
      <c r="K362" s="118"/>
      <c r="L362" s="117"/>
      <c r="M362" s="117"/>
      <c r="N362" s="117">
        <f>SUM(J362:M362)</f>
        <v>4517</v>
      </c>
      <c r="O362" s="133"/>
    </row>
    <row r="363" spans="1:15" ht="15" customHeight="1">
      <c r="A363" s="344"/>
      <c r="B363" s="335">
        <v>9</v>
      </c>
      <c r="C363" s="1299" t="s">
        <v>641</v>
      </c>
      <c r="D363" s="1300"/>
      <c r="E363" s="1300"/>
      <c r="F363" s="1301"/>
      <c r="G363" s="117"/>
      <c r="H363" s="117"/>
      <c r="I363" s="117"/>
      <c r="J363" s="149"/>
      <c r="K363" s="118"/>
      <c r="L363" s="117"/>
      <c r="M363" s="117"/>
      <c r="N363" s="117"/>
      <c r="O363" s="133"/>
    </row>
    <row r="364" spans="1:15" ht="14.25" customHeight="1">
      <c r="A364" s="344"/>
      <c r="B364" s="335"/>
      <c r="C364" s="64" t="s">
        <v>434</v>
      </c>
      <c r="D364" s="116"/>
      <c r="E364" s="117"/>
      <c r="F364" s="117"/>
      <c r="G364" s="117"/>
      <c r="H364" s="117"/>
      <c r="I364" s="117"/>
      <c r="J364" s="149">
        <v>0</v>
      </c>
      <c r="K364" s="118"/>
      <c r="L364" s="117"/>
      <c r="M364" s="117"/>
      <c r="N364" s="117">
        <v>0</v>
      </c>
      <c r="O364" s="133"/>
    </row>
    <row r="365" spans="1:15" ht="14.25" customHeight="1">
      <c r="A365" s="344"/>
      <c r="B365" s="335"/>
      <c r="C365" s="64" t="s">
        <v>435</v>
      </c>
      <c r="D365" s="116"/>
      <c r="E365" s="117"/>
      <c r="F365" s="117"/>
      <c r="G365" s="117"/>
      <c r="H365" s="117"/>
      <c r="I365" s="117">
        <v>0</v>
      </c>
      <c r="J365" s="149">
        <f>SUM(D365:I365)</f>
        <v>0</v>
      </c>
      <c r="K365" s="118">
        <v>60000</v>
      </c>
      <c r="L365" s="117">
        <v>0</v>
      </c>
      <c r="M365" s="117"/>
      <c r="N365" s="117">
        <f>SUM(J365:M365)</f>
        <v>60000</v>
      </c>
      <c r="O365" s="133"/>
    </row>
    <row r="366" spans="1:15" ht="13.5" customHeight="1" thickBot="1">
      <c r="A366" s="344"/>
      <c r="B366" s="335"/>
      <c r="C366" s="64" t="s">
        <v>436</v>
      </c>
      <c r="D366" s="116"/>
      <c r="E366" s="117"/>
      <c r="F366" s="117"/>
      <c r="G366" s="117"/>
      <c r="H366" s="117"/>
      <c r="I366" s="117"/>
      <c r="J366" s="149">
        <f>SUM(D366:I366)</f>
        <v>0</v>
      </c>
      <c r="K366" s="118">
        <v>0</v>
      </c>
      <c r="L366" s="117"/>
      <c r="M366" s="117"/>
      <c r="N366" s="117">
        <f>SUM(J366:M366)</f>
        <v>0</v>
      </c>
      <c r="O366" s="133"/>
    </row>
    <row r="367" spans="1:15" ht="12.75" customHeight="1">
      <c r="A367" s="332">
        <v>24</v>
      </c>
      <c r="B367" s="1098"/>
      <c r="C367" s="69" t="s">
        <v>297</v>
      </c>
      <c r="D367" s="139"/>
      <c r="E367" s="139"/>
      <c r="F367" s="139"/>
      <c r="G367" s="139"/>
      <c r="H367" s="139"/>
      <c r="I367" s="139"/>
      <c r="J367" s="140"/>
      <c r="K367" s="141"/>
      <c r="L367" s="139"/>
      <c r="M367" s="139"/>
      <c r="N367" s="139"/>
      <c r="O367" s="182"/>
    </row>
    <row r="368" spans="1:15" ht="12.75" customHeight="1">
      <c r="A368" s="344"/>
      <c r="B368" s="116"/>
      <c r="C368" s="67" t="s">
        <v>434</v>
      </c>
      <c r="D368" s="130">
        <v>660</v>
      </c>
      <c r="E368" s="130">
        <v>144</v>
      </c>
      <c r="F368" s="130">
        <v>1500</v>
      </c>
      <c r="G368" s="130"/>
      <c r="H368" s="130"/>
      <c r="I368" s="130"/>
      <c r="J368" s="131">
        <f>SUM(D368:H368)</f>
        <v>2304</v>
      </c>
      <c r="K368" s="132"/>
      <c r="L368" s="130"/>
      <c r="M368" s="130"/>
      <c r="N368" s="130">
        <f>SUM(J368:M368)</f>
        <v>2304</v>
      </c>
      <c r="O368" s="133"/>
    </row>
    <row r="369" spans="1:16" ht="12.75" customHeight="1">
      <c r="A369" s="344"/>
      <c r="B369" s="116"/>
      <c r="C369" s="68" t="s">
        <v>435</v>
      </c>
      <c r="D369" s="145">
        <v>660</v>
      </c>
      <c r="E369" s="145">
        <v>144</v>
      </c>
      <c r="F369" s="145">
        <v>1454</v>
      </c>
      <c r="G369" s="145"/>
      <c r="H369" s="145"/>
      <c r="I369" s="145">
        <v>209</v>
      </c>
      <c r="J369" s="154">
        <f>SUM(D369:I369)</f>
        <v>2467</v>
      </c>
      <c r="K369" s="155"/>
      <c r="L369" s="145"/>
      <c r="M369" s="145"/>
      <c r="N369" s="145">
        <f>SUM(J369:M369)</f>
        <v>2467</v>
      </c>
      <c r="O369" s="169"/>
      <c r="P369" s="43"/>
    </row>
    <row r="370" spans="1:16" ht="12.75" customHeight="1" thickBot="1">
      <c r="A370" s="851"/>
      <c r="B370" s="178"/>
      <c r="C370" s="66" t="s">
        <v>436</v>
      </c>
      <c r="D370" s="156">
        <v>0</v>
      </c>
      <c r="E370" s="156">
        <v>0</v>
      </c>
      <c r="F370" s="156">
        <f>97+235+56</f>
        <v>388</v>
      </c>
      <c r="G370" s="156"/>
      <c r="H370" s="156"/>
      <c r="I370" s="156">
        <f>132+77</f>
        <v>209</v>
      </c>
      <c r="J370" s="157">
        <f>SUM(D370:I370)</f>
        <v>597</v>
      </c>
      <c r="K370" s="172"/>
      <c r="L370" s="156"/>
      <c r="M370" s="156"/>
      <c r="N370" s="156">
        <f>SUM(J370:M370)</f>
        <v>597</v>
      </c>
      <c r="O370" s="181"/>
      <c r="P370" s="43"/>
    </row>
    <row r="371" spans="1:16" ht="12.75" customHeight="1">
      <c r="A371" s="332">
        <v>25</v>
      </c>
      <c r="B371" s="1098"/>
      <c r="C371" s="69" t="s">
        <v>298</v>
      </c>
      <c r="D371" s="139"/>
      <c r="E371" s="139"/>
      <c r="F371" s="139"/>
      <c r="G371" s="139"/>
      <c r="H371" s="139"/>
      <c r="I371" s="139"/>
      <c r="J371" s="140"/>
      <c r="K371" s="141"/>
      <c r="L371" s="139"/>
      <c r="M371" s="139"/>
      <c r="N371" s="139"/>
      <c r="O371" s="182"/>
      <c r="P371" s="43"/>
    </row>
    <row r="372" spans="1:16" ht="12.75" customHeight="1">
      <c r="A372" s="344"/>
      <c r="B372" s="116"/>
      <c r="C372" s="67" t="s">
        <v>434</v>
      </c>
      <c r="D372" s="130">
        <f aca="true" t="shared" si="30" ref="D372:I372">D376+D380+D384+D388+D392+D396+D400+D404</f>
        <v>0</v>
      </c>
      <c r="E372" s="130">
        <f t="shared" si="30"/>
        <v>0</v>
      </c>
      <c r="F372" s="130">
        <f t="shared" si="30"/>
        <v>0</v>
      </c>
      <c r="G372" s="130">
        <f t="shared" si="30"/>
        <v>0</v>
      </c>
      <c r="H372" s="130">
        <f t="shared" si="30"/>
        <v>140100</v>
      </c>
      <c r="I372" s="130">
        <f t="shared" si="30"/>
        <v>0</v>
      </c>
      <c r="J372" s="131">
        <f>SUM(D372:I372)</f>
        <v>140100</v>
      </c>
      <c r="K372" s="132">
        <f aca="true" t="shared" si="31" ref="K372:M374">K376+K380+K384+K388+K392+K396+K400</f>
        <v>0</v>
      </c>
      <c r="L372" s="130">
        <f t="shared" si="31"/>
        <v>0</v>
      </c>
      <c r="M372" s="130">
        <f t="shared" si="31"/>
        <v>0</v>
      </c>
      <c r="N372" s="130">
        <f>SUM(J372:M372)</f>
        <v>140100</v>
      </c>
      <c r="O372" s="133"/>
      <c r="P372" s="43"/>
    </row>
    <row r="373" spans="1:16" ht="12.75" customHeight="1">
      <c r="A373" s="344"/>
      <c r="B373" s="116"/>
      <c r="C373" s="67" t="s">
        <v>435</v>
      </c>
      <c r="D373" s="130">
        <f aca="true" t="shared" si="32" ref="D373:I374">D377+D381+D385+D389+D393+D397+D401+D405</f>
        <v>0</v>
      </c>
      <c r="E373" s="130">
        <f t="shared" si="32"/>
        <v>0</v>
      </c>
      <c r="F373" s="130">
        <f t="shared" si="32"/>
        <v>23</v>
      </c>
      <c r="G373" s="130">
        <f t="shared" si="32"/>
        <v>0</v>
      </c>
      <c r="H373" s="130">
        <f>H377+H381+H385+H389+H393+H397+H401+H405</f>
        <v>138558</v>
      </c>
      <c r="I373" s="130">
        <f t="shared" si="32"/>
        <v>0</v>
      </c>
      <c r="J373" s="131">
        <f>SUM(D373:I373)</f>
        <v>138581</v>
      </c>
      <c r="K373" s="132">
        <f t="shared" si="31"/>
        <v>0</v>
      </c>
      <c r="L373" s="130">
        <f t="shared" si="31"/>
        <v>0</v>
      </c>
      <c r="M373" s="130">
        <f t="shared" si="31"/>
        <v>0</v>
      </c>
      <c r="N373" s="130">
        <f>SUM(J373:M373)</f>
        <v>138581</v>
      </c>
      <c r="O373" s="133"/>
      <c r="P373" s="43"/>
    </row>
    <row r="374" spans="1:16" ht="12.75" customHeight="1">
      <c r="A374" s="344"/>
      <c r="B374" s="116"/>
      <c r="C374" s="67" t="s">
        <v>436</v>
      </c>
      <c r="D374" s="130">
        <f t="shared" si="32"/>
        <v>0</v>
      </c>
      <c r="E374" s="130">
        <f t="shared" si="32"/>
        <v>0</v>
      </c>
      <c r="F374" s="130">
        <f t="shared" si="32"/>
        <v>18</v>
      </c>
      <c r="G374" s="130">
        <f t="shared" si="32"/>
        <v>0</v>
      </c>
      <c r="H374" s="130">
        <f t="shared" si="32"/>
        <v>120866</v>
      </c>
      <c r="I374" s="130">
        <f t="shared" si="32"/>
        <v>0</v>
      </c>
      <c r="J374" s="131">
        <f>SUM(D374:I374)</f>
        <v>120884</v>
      </c>
      <c r="K374" s="132">
        <f t="shared" si="31"/>
        <v>0</v>
      </c>
      <c r="L374" s="130">
        <f t="shared" si="31"/>
        <v>0</v>
      </c>
      <c r="M374" s="130">
        <f t="shared" si="31"/>
        <v>0</v>
      </c>
      <c r="N374" s="130">
        <f>SUM(J374:M374)</f>
        <v>120884</v>
      </c>
      <c r="O374" s="133"/>
      <c r="P374" s="43"/>
    </row>
    <row r="375" spans="1:16" ht="12.75" customHeight="1">
      <c r="A375" s="344"/>
      <c r="B375" s="335" t="s">
        <v>109</v>
      </c>
      <c r="C375" s="70" t="s">
        <v>390</v>
      </c>
      <c r="D375" s="130"/>
      <c r="E375" s="130"/>
      <c r="F375" s="130"/>
      <c r="G375" s="130"/>
      <c r="H375" s="117"/>
      <c r="I375" s="117"/>
      <c r="J375" s="149"/>
      <c r="K375" s="132"/>
      <c r="L375" s="130"/>
      <c r="M375" s="130"/>
      <c r="N375" s="117"/>
      <c r="O375" s="133"/>
      <c r="P375" s="43"/>
    </row>
    <row r="376" spans="1:16" ht="12.75" customHeight="1">
      <c r="A376" s="344"/>
      <c r="B376" s="335"/>
      <c r="C376" s="64" t="s">
        <v>434</v>
      </c>
      <c r="D376" s="130"/>
      <c r="E376" s="130"/>
      <c r="F376" s="130"/>
      <c r="G376" s="130"/>
      <c r="H376" s="117">
        <v>12600</v>
      </c>
      <c r="I376" s="117"/>
      <c r="J376" s="149">
        <f>SUM(D376:H376)</f>
        <v>12600</v>
      </c>
      <c r="K376" s="132"/>
      <c r="L376" s="130"/>
      <c r="M376" s="130"/>
      <c r="N376" s="117">
        <f>SUM(J376:M376)</f>
        <v>12600</v>
      </c>
      <c r="O376" s="133"/>
      <c r="P376" s="43"/>
    </row>
    <row r="377" spans="1:16" ht="12.75" customHeight="1">
      <c r="A377" s="344"/>
      <c r="B377" s="335"/>
      <c r="C377" s="64" t="s">
        <v>435</v>
      </c>
      <c r="D377" s="130"/>
      <c r="E377" s="130"/>
      <c r="F377" s="130"/>
      <c r="G377" s="130"/>
      <c r="H377" s="117">
        <v>12600</v>
      </c>
      <c r="I377" s="117"/>
      <c r="J377" s="149">
        <f>SUM(D377:H377)</f>
        <v>12600</v>
      </c>
      <c r="K377" s="132"/>
      <c r="L377" s="130"/>
      <c r="M377" s="130"/>
      <c r="N377" s="117">
        <f>SUM(J377:M377)</f>
        <v>12600</v>
      </c>
      <c r="O377" s="133"/>
      <c r="P377" s="43"/>
    </row>
    <row r="378" spans="1:16" ht="12.75" customHeight="1">
      <c r="A378" s="344"/>
      <c r="B378" s="335"/>
      <c r="C378" s="64" t="s">
        <v>436</v>
      </c>
      <c r="D378" s="130"/>
      <c r="E378" s="130"/>
      <c r="F378" s="130"/>
      <c r="G378" s="130"/>
      <c r="H378" s="117">
        <v>10931</v>
      </c>
      <c r="I378" s="117"/>
      <c r="J378" s="149">
        <f>SUM(D378:H378)</f>
        <v>10931</v>
      </c>
      <c r="K378" s="132"/>
      <c r="L378" s="130"/>
      <c r="M378" s="130"/>
      <c r="N378" s="117">
        <f>SUM(J378:M378)</f>
        <v>10931</v>
      </c>
      <c r="O378" s="133"/>
      <c r="P378" s="43"/>
    </row>
    <row r="379" spans="1:16" ht="12.75" customHeight="1">
      <c r="A379" s="344"/>
      <c r="B379" s="335" t="s">
        <v>111</v>
      </c>
      <c r="C379" s="76" t="s">
        <v>186</v>
      </c>
      <c r="D379" s="117"/>
      <c r="E379" s="117"/>
      <c r="F379" s="117"/>
      <c r="G379" s="117"/>
      <c r="H379" s="117"/>
      <c r="I379" s="117"/>
      <c r="J379" s="149"/>
      <c r="K379" s="118"/>
      <c r="L379" s="117"/>
      <c r="M379" s="117"/>
      <c r="N379" s="117"/>
      <c r="O379" s="133"/>
      <c r="P379" s="43"/>
    </row>
    <row r="380" spans="1:16" ht="12.75" customHeight="1">
      <c r="A380" s="344"/>
      <c r="B380" s="335"/>
      <c r="C380" s="64" t="s">
        <v>434</v>
      </c>
      <c r="D380" s="117"/>
      <c r="E380" s="117"/>
      <c r="F380" s="117"/>
      <c r="G380" s="117"/>
      <c r="H380" s="117">
        <v>47200</v>
      </c>
      <c r="I380" s="117"/>
      <c r="J380" s="149">
        <f>SUM(D380:H380)</f>
        <v>47200</v>
      </c>
      <c r="K380" s="118"/>
      <c r="L380" s="117"/>
      <c r="M380" s="117"/>
      <c r="N380" s="117">
        <f>SUM(J380:M380)</f>
        <v>47200</v>
      </c>
      <c r="O380" s="133"/>
      <c r="P380" s="43"/>
    </row>
    <row r="381" spans="1:16" ht="12.75" customHeight="1">
      <c r="A381" s="344"/>
      <c r="B381" s="335"/>
      <c r="C381" s="64" t="s">
        <v>435</v>
      </c>
      <c r="D381" s="117"/>
      <c r="E381" s="117"/>
      <c r="F381" s="117">
        <v>15</v>
      </c>
      <c r="G381" s="117"/>
      <c r="H381" s="117">
        <v>45185</v>
      </c>
      <c r="I381" s="117"/>
      <c r="J381" s="149">
        <f>SUM(D381:H381)</f>
        <v>45200</v>
      </c>
      <c r="K381" s="118"/>
      <c r="L381" s="117"/>
      <c r="M381" s="117"/>
      <c r="N381" s="117">
        <f>SUM(J381:M381)</f>
        <v>45200</v>
      </c>
      <c r="O381" s="133"/>
      <c r="P381" s="43"/>
    </row>
    <row r="382" spans="1:16" ht="12.75" customHeight="1">
      <c r="A382" s="344"/>
      <c r="B382" s="335"/>
      <c r="C382" s="64" t="s">
        <v>436</v>
      </c>
      <c r="D382" s="117"/>
      <c r="E382" s="117"/>
      <c r="F382" s="117">
        <v>14</v>
      </c>
      <c r="G382" s="117"/>
      <c r="H382" s="117">
        <v>40864</v>
      </c>
      <c r="I382" s="117"/>
      <c r="J382" s="149">
        <f>SUM(D382:H382)</f>
        <v>40878</v>
      </c>
      <c r="K382" s="118"/>
      <c r="L382" s="117"/>
      <c r="M382" s="117"/>
      <c r="N382" s="117">
        <f>SUM(J382:M382)</f>
        <v>40878</v>
      </c>
      <c r="O382" s="133"/>
      <c r="P382" s="43"/>
    </row>
    <row r="383" spans="1:16" ht="12.75" customHeight="1">
      <c r="A383" s="344"/>
      <c r="B383" s="335" t="s">
        <v>113</v>
      </c>
      <c r="C383" s="70" t="s">
        <v>391</v>
      </c>
      <c r="D383" s="117"/>
      <c r="E383" s="117"/>
      <c r="F383" s="117"/>
      <c r="G383" s="117"/>
      <c r="H383" s="117"/>
      <c r="I383" s="117"/>
      <c r="J383" s="149"/>
      <c r="K383" s="118"/>
      <c r="L383" s="117"/>
      <c r="M383" s="117"/>
      <c r="N383" s="117"/>
      <c r="O383" s="133"/>
      <c r="P383" s="43"/>
    </row>
    <row r="384" spans="1:16" ht="12.75" customHeight="1">
      <c r="A384" s="344"/>
      <c r="B384" s="335"/>
      <c r="C384" s="64" t="s">
        <v>434</v>
      </c>
      <c r="D384" s="117"/>
      <c r="E384" s="117"/>
      <c r="F384" s="117"/>
      <c r="G384" s="117"/>
      <c r="H384" s="117">
        <v>10000</v>
      </c>
      <c r="I384" s="117"/>
      <c r="J384" s="149">
        <f>SUM(D384:H384)</f>
        <v>10000</v>
      </c>
      <c r="K384" s="118"/>
      <c r="L384" s="117"/>
      <c r="M384" s="117"/>
      <c r="N384" s="117">
        <f>SUM(J384:M384)</f>
        <v>10000</v>
      </c>
      <c r="O384" s="133"/>
      <c r="P384" s="43"/>
    </row>
    <row r="385" spans="1:16" ht="12.75" customHeight="1">
      <c r="A385" s="344"/>
      <c r="B385" s="335"/>
      <c r="C385" s="64" t="s">
        <v>435</v>
      </c>
      <c r="D385" s="117"/>
      <c r="E385" s="117"/>
      <c r="F385" s="117"/>
      <c r="G385" s="117"/>
      <c r="H385" s="117">
        <v>23381</v>
      </c>
      <c r="I385" s="117"/>
      <c r="J385" s="149">
        <f>SUM(D385:H385)</f>
        <v>23381</v>
      </c>
      <c r="K385" s="118"/>
      <c r="L385" s="117"/>
      <c r="M385" s="117"/>
      <c r="N385" s="117">
        <f>SUM(J385:M385)</f>
        <v>23381</v>
      </c>
      <c r="O385" s="133"/>
      <c r="P385" s="43"/>
    </row>
    <row r="386" spans="1:16" ht="12.75" customHeight="1">
      <c r="A386" s="344"/>
      <c r="B386" s="335"/>
      <c r="C386" s="64" t="s">
        <v>436</v>
      </c>
      <c r="D386" s="117"/>
      <c r="E386" s="117"/>
      <c r="F386" s="117"/>
      <c r="G386" s="117"/>
      <c r="H386" s="117">
        <v>17103</v>
      </c>
      <c r="I386" s="117"/>
      <c r="J386" s="149">
        <f>SUM(D386:H386)</f>
        <v>17103</v>
      </c>
      <c r="K386" s="118"/>
      <c r="L386" s="117"/>
      <c r="M386" s="117"/>
      <c r="N386" s="117">
        <f>SUM(J386:M386)</f>
        <v>17103</v>
      </c>
      <c r="O386" s="133"/>
      <c r="P386" s="43"/>
    </row>
    <row r="387" spans="1:16" ht="12.75" customHeight="1">
      <c r="A387" s="344"/>
      <c r="B387" s="335" t="s">
        <v>115</v>
      </c>
      <c r="C387" s="65" t="s">
        <v>332</v>
      </c>
      <c r="D387" s="117"/>
      <c r="E387" s="117"/>
      <c r="F387" s="117"/>
      <c r="G387" s="117"/>
      <c r="H387" s="117"/>
      <c r="I387" s="117"/>
      <c r="J387" s="149"/>
      <c r="K387" s="118"/>
      <c r="L387" s="117"/>
      <c r="M387" s="117"/>
      <c r="N387" s="117"/>
      <c r="O387" s="133"/>
      <c r="P387" s="43"/>
    </row>
    <row r="388" spans="1:16" ht="12.75" customHeight="1">
      <c r="A388" s="344"/>
      <c r="B388" s="335"/>
      <c r="C388" s="64" t="s">
        <v>434</v>
      </c>
      <c r="D388" s="117"/>
      <c r="E388" s="117"/>
      <c r="F388" s="117"/>
      <c r="G388" s="117"/>
      <c r="H388" s="117">
        <v>7000</v>
      </c>
      <c r="I388" s="117"/>
      <c r="J388" s="149">
        <f>SUM(D388:H388)</f>
        <v>7000</v>
      </c>
      <c r="K388" s="118"/>
      <c r="L388" s="117"/>
      <c r="M388" s="117"/>
      <c r="N388" s="117">
        <f>SUM(J388:M388)</f>
        <v>7000</v>
      </c>
      <c r="O388" s="133"/>
      <c r="P388" s="43"/>
    </row>
    <row r="389" spans="1:16" ht="12.75" customHeight="1">
      <c r="A389" s="344"/>
      <c r="B389" s="335"/>
      <c r="C389" s="64" t="s">
        <v>435</v>
      </c>
      <c r="D389" s="117"/>
      <c r="E389" s="117"/>
      <c r="F389" s="117"/>
      <c r="G389" s="117"/>
      <c r="H389" s="117">
        <v>7000</v>
      </c>
      <c r="I389" s="117"/>
      <c r="J389" s="149">
        <f>SUM(D389:H389)</f>
        <v>7000</v>
      </c>
      <c r="K389" s="118"/>
      <c r="L389" s="117"/>
      <c r="M389" s="117"/>
      <c r="N389" s="117">
        <f>SUM(J389:M389)</f>
        <v>7000</v>
      </c>
      <c r="O389" s="133"/>
      <c r="P389" s="43"/>
    </row>
    <row r="390" spans="1:16" ht="12.75" customHeight="1">
      <c r="A390" s="344"/>
      <c r="B390" s="335"/>
      <c r="C390" s="64" t="s">
        <v>436</v>
      </c>
      <c r="D390" s="117"/>
      <c r="E390" s="117"/>
      <c r="F390" s="117"/>
      <c r="G390" s="117"/>
      <c r="H390" s="117">
        <v>6415</v>
      </c>
      <c r="I390" s="117"/>
      <c r="J390" s="149">
        <f>SUM(D390:H390)</f>
        <v>6415</v>
      </c>
      <c r="K390" s="118"/>
      <c r="L390" s="117"/>
      <c r="M390" s="117"/>
      <c r="N390" s="117">
        <f>SUM(J390:M390)</f>
        <v>6415</v>
      </c>
      <c r="O390" s="133"/>
      <c r="P390" s="43"/>
    </row>
    <row r="391" spans="1:16" ht="12.75" customHeight="1">
      <c r="A391" s="344"/>
      <c r="B391" s="335" t="s">
        <v>117</v>
      </c>
      <c r="C391" s="75" t="s">
        <v>188</v>
      </c>
      <c r="D391" s="117"/>
      <c r="E391" s="117"/>
      <c r="F391" s="117"/>
      <c r="G391" s="117"/>
      <c r="H391" s="117"/>
      <c r="I391" s="117"/>
      <c r="J391" s="149"/>
      <c r="K391" s="118"/>
      <c r="L391" s="117"/>
      <c r="M391" s="117"/>
      <c r="N391" s="117"/>
      <c r="O391" s="133"/>
      <c r="P391" s="43"/>
    </row>
    <row r="392" spans="1:16" ht="12.75" customHeight="1">
      <c r="A392" s="344"/>
      <c r="B392" s="335"/>
      <c r="C392" s="64" t="s">
        <v>434</v>
      </c>
      <c r="D392" s="117"/>
      <c r="E392" s="117"/>
      <c r="F392" s="117"/>
      <c r="G392" s="117"/>
      <c r="H392" s="117">
        <v>15000</v>
      </c>
      <c r="I392" s="117"/>
      <c r="J392" s="149">
        <f>SUM(D392:H392)</f>
        <v>15000</v>
      </c>
      <c r="K392" s="118"/>
      <c r="L392" s="117"/>
      <c r="M392" s="117"/>
      <c r="N392" s="117">
        <f>SUM(J392:M392)</f>
        <v>15000</v>
      </c>
      <c r="O392" s="133"/>
      <c r="P392" s="43"/>
    </row>
    <row r="393" spans="1:16" ht="12.75" customHeight="1">
      <c r="A393" s="344"/>
      <c r="B393" s="335"/>
      <c r="C393" s="78" t="s">
        <v>435</v>
      </c>
      <c r="D393" s="117"/>
      <c r="E393" s="117"/>
      <c r="F393" s="117"/>
      <c r="G393" s="117"/>
      <c r="H393" s="117">
        <v>15000</v>
      </c>
      <c r="I393" s="117"/>
      <c r="J393" s="149">
        <f>SUM(D393:H393)</f>
        <v>15000</v>
      </c>
      <c r="K393" s="118"/>
      <c r="L393" s="117"/>
      <c r="M393" s="117"/>
      <c r="N393" s="117">
        <f>SUM(J393:M393)</f>
        <v>15000</v>
      </c>
      <c r="O393" s="133"/>
      <c r="P393" s="43"/>
    </row>
    <row r="394" spans="1:16" ht="12.75" customHeight="1">
      <c r="A394" s="344"/>
      <c r="B394" s="335"/>
      <c r="C394" s="64" t="s">
        <v>436</v>
      </c>
      <c r="D394" s="117"/>
      <c r="E394" s="117"/>
      <c r="F394" s="117"/>
      <c r="G394" s="117"/>
      <c r="H394" s="117">
        <v>13281</v>
      </c>
      <c r="I394" s="117"/>
      <c r="J394" s="149">
        <f>SUM(D394:H394)</f>
        <v>13281</v>
      </c>
      <c r="K394" s="118"/>
      <c r="L394" s="117"/>
      <c r="M394" s="117"/>
      <c r="N394" s="117">
        <f>SUM(J394:M394)</f>
        <v>13281</v>
      </c>
      <c r="O394" s="133"/>
      <c r="P394" s="43"/>
    </row>
    <row r="395" spans="1:16" ht="12.75" customHeight="1">
      <c r="A395" s="344"/>
      <c r="B395" s="335" t="s">
        <v>119</v>
      </c>
      <c r="C395" s="70" t="s">
        <v>392</v>
      </c>
      <c r="D395" s="117"/>
      <c r="E395" s="117"/>
      <c r="F395" s="117"/>
      <c r="G395" s="117"/>
      <c r="H395" s="117"/>
      <c r="I395" s="117"/>
      <c r="J395" s="149"/>
      <c r="K395" s="118"/>
      <c r="L395" s="117"/>
      <c r="M395" s="117"/>
      <c r="N395" s="117"/>
      <c r="O395" s="133"/>
      <c r="P395" s="43"/>
    </row>
    <row r="396" spans="1:16" ht="12.75" customHeight="1">
      <c r="A396" s="344"/>
      <c r="B396" s="335"/>
      <c r="C396" s="64" t="s">
        <v>434</v>
      </c>
      <c r="D396" s="117"/>
      <c r="E396" s="117"/>
      <c r="F396" s="117"/>
      <c r="G396" s="117"/>
      <c r="H396" s="117">
        <v>100</v>
      </c>
      <c r="I396" s="117"/>
      <c r="J396" s="149">
        <f>SUM(D396:H396)</f>
        <v>100</v>
      </c>
      <c r="K396" s="118"/>
      <c r="L396" s="117"/>
      <c r="M396" s="117"/>
      <c r="N396" s="117">
        <f>SUM(J396:M396)</f>
        <v>100</v>
      </c>
      <c r="O396" s="133"/>
      <c r="P396" s="43"/>
    </row>
    <row r="397" spans="1:16" ht="12.75" customHeight="1">
      <c r="A397" s="344"/>
      <c r="B397" s="335"/>
      <c r="C397" s="64" t="s">
        <v>435</v>
      </c>
      <c r="D397" s="117"/>
      <c r="E397" s="117"/>
      <c r="F397" s="117"/>
      <c r="G397" s="117"/>
      <c r="H397" s="117">
        <v>100</v>
      </c>
      <c r="I397" s="117"/>
      <c r="J397" s="149">
        <f>SUM(D397:H397)</f>
        <v>100</v>
      </c>
      <c r="K397" s="118"/>
      <c r="L397" s="117"/>
      <c r="M397" s="117"/>
      <c r="N397" s="117">
        <f>SUM(J397:M397)</f>
        <v>100</v>
      </c>
      <c r="O397" s="133"/>
      <c r="P397" s="43"/>
    </row>
    <row r="398" spans="1:16" ht="12.75" customHeight="1">
      <c r="A398" s="344"/>
      <c r="B398" s="335"/>
      <c r="C398" s="64" t="s">
        <v>436</v>
      </c>
      <c r="D398" s="117"/>
      <c r="E398" s="117"/>
      <c r="F398" s="117"/>
      <c r="G398" s="117"/>
      <c r="H398" s="117">
        <v>0</v>
      </c>
      <c r="I398" s="117"/>
      <c r="J398" s="149">
        <f>SUM(D398:H398)</f>
        <v>0</v>
      </c>
      <c r="K398" s="118"/>
      <c r="L398" s="117"/>
      <c r="M398" s="117"/>
      <c r="N398" s="117">
        <f>SUM(J398:M398)</f>
        <v>0</v>
      </c>
      <c r="O398" s="133"/>
      <c r="P398" s="43"/>
    </row>
    <row r="399" spans="1:16" ht="12.75" customHeight="1">
      <c r="A399" s="344"/>
      <c r="B399" s="335" t="s">
        <v>121</v>
      </c>
      <c r="C399" s="89" t="s">
        <v>393</v>
      </c>
      <c r="D399" s="117"/>
      <c r="E399" s="117"/>
      <c r="F399" s="117"/>
      <c r="G399" s="117"/>
      <c r="H399" s="117"/>
      <c r="I399" s="117"/>
      <c r="J399" s="149"/>
      <c r="K399" s="118"/>
      <c r="L399" s="117"/>
      <c r="M399" s="117"/>
      <c r="N399" s="117"/>
      <c r="O399" s="133"/>
      <c r="P399" s="43"/>
    </row>
    <row r="400" spans="1:16" ht="12.75" customHeight="1">
      <c r="A400" s="344"/>
      <c r="B400" s="335"/>
      <c r="C400" s="64" t="s">
        <v>434</v>
      </c>
      <c r="D400" s="117"/>
      <c r="E400" s="117"/>
      <c r="F400" s="117"/>
      <c r="G400" s="117"/>
      <c r="H400" s="117">
        <v>1200</v>
      </c>
      <c r="I400" s="117"/>
      <c r="J400" s="149">
        <f>SUM(D400:H400)</f>
        <v>1200</v>
      </c>
      <c r="K400" s="118"/>
      <c r="L400" s="117"/>
      <c r="M400" s="117"/>
      <c r="N400" s="117">
        <f>SUM(J400:M400)</f>
        <v>1200</v>
      </c>
      <c r="O400" s="133"/>
      <c r="P400" s="43"/>
    </row>
    <row r="401" spans="1:16" ht="12.75" customHeight="1">
      <c r="A401" s="344"/>
      <c r="B401" s="335"/>
      <c r="C401" s="64" t="s">
        <v>435</v>
      </c>
      <c r="D401" s="117"/>
      <c r="E401" s="117"/>
      <c r="F401" s="117">
        <v>8</v>
      </c>
      <c r="G401" s="117"/>
      <c r="H401" s="117">
        <v>1792</v>
      </c>
      <c r="I401" s="117"/>
      <c r="J401" s="149">
        <f>SUM(D401:H401)</f>
        <v>1800</v>
      </c>
      <c r="K401" s="118"/>
      <c r="L401" s="117"/>
      <c r="M401" s="117"/>
      <c r="N401" s="117">
        <f>SUM(J401:M401)</f>
        <v>1800</v>
      </c>
      <c r="O401" s="133"/>
      <c r="P401" s="43"/>
    </row>
    <row r="402" spans="1:16" ht="12.75" customHeight="1">
      <c r="A402" s="344"/>
      <c r="B402" s="335"/>
      <c r="C402" s="64" t="s">
        <v>436</v>
      </c>
      <c r="D402" s="117"/>
      <c r="E402" s="117"/>
      <c r="F402" s="117">
        <v>4</v>
      </c>
      <c r="G402" s="117"/>
      <c r="H402" s="117">
        <f>1576-1</f>
        <v>1575</v>
      </c>
      <c r="I402" s="117"/>
      <c r="J402" s="149">
        <f>SUM(D402:H402)</f>
        <v>1579</v>
      </c>
      <c r="K402" s="118"/>
      <c r="L402" s="117"/>
      <c r="M402" s="117"/>
      <c r="N402" s="117">
        <f>SUM(J402:M402)</f>
        <v>1579</v>
      </c>
      <c r="O402" s="181"/>
      <c r="P402" s="43"/>
    </row>
    <row r="403" spans="1:16" ht="12.75" customHeight="1">
      <c r="A403" s="344"/>
      <c r="B403" s="335">
        <v>8</v>
      </c>
      <c r="C403" s="903" t="s">
        <v>512</v>
      </c>
      <c r="D403" s="117"/>
      <c r="E403" s="117"/>
      <c r="F403" s="117"/>
      <c r="G403" s="117"/>
      <c r="H403" s="117"/>
      <c r="I403" s="117"/>
      <c r="J403" s="149"/>
      <c r="K403" s="118"/>
      <c r="L403" s="117"/>
      <c r="M403" s="117"/>
      <c r="N403" s="117"/>
      <c r="O403" s="133"/>
      <c r="P403" s="43"/>
    </row>
    <row r="404" spans="1:16" ht="12.75" customHeight="1">
      <c r="A404" s="344"/>
      <c r="B404" s="335"/>
      <c r="C404" s="64" t="s">
        <v>434</v>
      </c>
      <c r="D404" s="117"/>
      <c r="E404" s="117"/>
      <c r="F404" s="117"/>
      <c r="G404" s="117"/>
      <c r="H404" s="117">
        <v>47000</v>
      </c>
      <c r="I404" s="117"/>
      <c r="J404" s="149">
        <f>SUM(D404:I404)</f>
        <v>47000</v>
      </c>
      <c r="K404" s="118"/>
      <c r="L404" s="117"/>
      <c r="M404" s="117"/>
      <c r="N404" s="117">
        <f>SUM(J404:M404)</f>
        <v>47000</v>
      </c>
      <c r="O404" s="133"/>
      <c r="P404" s="43"/>
    </row>
    <row r="405" spans="1:16" ht="12.75" customHeight="1">
      <c r="A405" s="344"/>
      <c r="B405" s="335"/>
      <c r="C405" s="64" t="s">
        <v>435</v>
      </c>
      <c r="D405" s="117"/>
      <c r="E405" s="117"/>
      <c r="F405" s="117"/>
      <c r="G405" s="117"/>
      <c r="H405" s="117">
        <v>33500</v>
      </c>
      <c r="I405" s="117"/>
      <c r="J405" s="149">
        <f>SUM(D405:I405)</f>
        <v>33500</v>
      </c>
      <c r="K405" s="118"/>
      <c r="L405" s="117"/>
      <c r="M405" s="117"/>
      <c r="N405" s="117">
        <f>SUM(J405:M405)</f>
        <v>33500</v>
      </c>
      <c r="O405" s="133"/>
      <c r="P405" s="43"/>
    </row>
    <row r="406" spans="1:16" ht="12.75" customHeight="1" thickBot="1">
      <c r="A406" s="936"/>
      <c r="B406" s="347"/>
      <c r="C406" s="432" t="s">
        <v>436</v>
      </c>
      <c r="D406" s="146"/>
      <c r="E406" s="146"/>
      <c r="F406" s="146"/>
      <c r="G406" s="146"/>
      <c r="H406" s="146">
        <v>30697</v>
      </c>
      <c r="I406" s="146"/>
      <c r="J406" s="147">
        <f>SUM(D406:I406)</f>
        <v>30697</v>
      </c>
      <c r="K406" s="148"/>
      <c r="L406" s="146"/>
      <c r="M406" s="146"/>
      <c r="N406" s="146">
        <f>SUM(J406:M406)</f>
        <v>30697</v>
      </c>
      <c r="O406" s="138"/>
      <c r="P406" s="43"/>
    </row>
    <row r="407" spans="1:16" ht="12.75" customHeight="1">
      <c r="A407" s="332">
        <v>26</v>
      </c>
      <c r="B407" s="1098"/>
      <c r="C407" s="69" t="s">
        <v>299</v>
      </c>
      <c r="D407" s="139"/>
      <c r="E407" s="139"/>
      <c r="F407" s="139"/>
      <c r="G407" s="139"/>
      <c r="H407" s="139"/>
      <c r="I407" s="139"/>
      <c r="J407" s="140"/>
      <c r="K407" s="141"/>
      <c r="L407" s="139"/>
      <c r="M407" s="139"/>
      <c r="N407" s="139"/>
      <c r="O407" s="182"/>
      <c r="P407" s="43"/>
    </row>
    <row r="408" spans="1:16" ht="12.75" customHeight="1">
      <c r="A408" s="344"/>
      <c r="B408" s="116"/>
      <c r="C408" s="67" t="s">
        <v>434</v>
      </c>
      <c r="D408" s="130">
        <f aca="true" t="shared" si="33" ref="D408:I408">D412+D416+D420+D424+D428+D432+D436+D440+D444+D448</f>
        <v>0</v>
      </c>
      <c r="E408" s="130">
        <f t="shared" si="33"/>
        <v>0</v>
      </c>
      <c r="F408" s="130">
        <f t="shared" si="33"/>
        <v>0</v>
      </c>
      <c r="G408" s="130">
        <f t="shared" si="33"/>
        <v>0</v>
      </c>
      <c r="H408" s="130">
        <f t="shared" si="33"/>
        <v>16000</v>
      </c>
      <c r="I408" s="130">
        <f t="shared" si="33"/>
        <v>0</v>
      </c>
      <c r="J408" s="131">
        <f>SUM(D408:I408)</f>
        <v>16000</v>
      </c>
      <c r="K408" s="132">
        <f>K412+K416+K420+K424+K428+K432+K436+K440+K444</f>
        <v>0</v>
      </c>
      <c r="L408" s="132">
        <f>L412+L416+L420+L424+L428+L432+L436+L440+L444</f>
        <v>0</v>
      </c>
      <c r="M408" s="132">
        <f>M412+M416+M420+M424+M428+M432+M436+M440+M444</f>
        <v>0</v>
      </c>
      <c r="N408" s="130">
        <f>SUM(J408:M408)</f>
        <v>16000</v>
      </c>
      <c r="O408" s="133"/>
      <c r="P408" s="42"/>
    </row>
    <row r="409" spans="1:16" ht="12.75" customHeight="1">
      <c r="A409" s="344"/>
      <c r="B409" s="116"/>
      <c r="C409" s="67" t="s">
        <v>435</v>
      </c>
      <c r="D409" s="130">
        <f aca="true" t="shared" si="34" ref="D409:I410">D413+D417+D421+D425+D429+D433+D437+D441+D445+D449</f>
        <v>0</v>
      </c>
      <c r="E409" s="130">
        <f t="shared" si="34"/>
        <v>0</v>
      </c>
      <c r="F409" s="130">
        <f t="shared" si="34"/>
        <v>30</v>
      </c>
      <c r="G409" s="130">
        <f t="shared" si="34"/>
        <v>0</v>
      </c>
      <c r="H409" s="130">
        <f t="shared" si="34"/>
        <v>15226</v>
      </c>
      <c r="I409" s="130">
        <f t="shared" si="34"/>
        <v>0</v>
      </c>
      <c r="J409" s="131">
        <f>SUM(D409:I409)</f>
        <v>15256</v>
      </c>
      <c r="K409" s="132">
        <f aca="true" t="shared" si="35" ref="K409:M410">K413+K417+K421+K425+K429+K433+K437+K441+K445</f>
        <v>0</v>
      </c>
      <c r="L409" s="132">
        <f t="shared" si="35"/>
        <v>0</v>
      </c>
      <c r="M409" s="132">
        <f t="shared" si="35"/>
        <v>0</v>
      </c>
      <c r="N409" s="130">
        <f>SUM(J409:M409)</f>
        <v>15256</v>
      </c>
      <c r="O409" s="133"/>
      <c r="P409" s="42"/>
    </row>
    <row r="410" spans="1:16" ht="12.75" customHeight="1">
      <c r="A410" s="344"/>
      <c r="B410" s="116"/>
      <c r="C410" s="67" t="s">
        <v>436</v>
      </c>
      <c r="D410" s="130">
        <f t="shared" si="34"/>
        <v>0</v>
      </c>
      <c r="E410" s="130">
        <f t="shared" si="34"/>
        <v>0</v>
      </c>
      <c r="F410" s="130">
        <f t="shared" si="34"/>
        <v>30</v>
      </c>
      <c r="G410" s="130">
        <f t="shared" si="34"/>
        <v>0</v>
      </c>
      <c r="H410" s="130">
        <f t="shared" si="34"/>
        <v>9009</v>
      </c>
      <c r="I410" s="130">
        <f t="shared" si="34"/>
        <v>0</v>
      </c>
      <c r="J410" s="131">
        <f>SUM(D410:I410)</f>
        <v>9039</v>
      </c>
      <c r="K410" s="132">
        <f t="shared" si="35"/>
        <v>0</v>
      </c>
      <c r="L410" s="132">
        <f t="shared" si="35"/>
        <v>0</v>
      </c>
      <c r="M410" s="132">
        <f t="shared" si="35"/>
        <v>0</v>
      </c>
      <c r="N410" s="130">
        <f>SUM(J410:M410)</f>
        <v>9039</v>
      </c>
      <c r="O410" s="133"/>
      <c r="P410" s="42"/>
    </row>
    <row r="411" spans="1:15" ht="12.75" customHeight="1">
      <c r="A411" s="344"/>
      <c r="B411" s="335" t="s">
        <v>109</v>
      </c>
      <c r="C411" s="65" t="s">
        <v>394</v>
      </c>
      <c r="D411" s="117"/>
      <c r="E411" s="117"/>
      <c r="F411" s="117"/>
      <c r="G411" s="117"/>
      <c r="H411" s="117"/>
      <c r="I411" s="117"/>
      <c r="J411" s="149"/>
      <c r="K411" s="118"/>
      <c r="L411" s="117"/>
      <c r="M411" s="117"/>
      <c r="N411" s="117"/>
      <c r="O411" s="133"/>
    </row>
    <row r="412" spans="1:15" ht="12.75" customHeight="1">
      <c r="A412" s="344"/>
      <c r="B412" s="335"/>
      <c r="C412" s="64" t="s">
        <v>434</v>
      </c>
      <c r="D412" s="117"/>
      <c r="E412" s="117"/>
      <c r="F412" s="117"/>
      <c r="G412" s="117"/>
      <c r="H412" s="117">
        <v>4000</v>
      </c>
      <c r="I412" s="117"/>
      <c r="J412" s="149">
        <f>SUM(D412:H412)</f>
        <v>4000</v>
      </c>
      <c r="K412" s="118"/>
      <c r="L412" s="117"/>
      <c r="M412" s="117"/>
      <c r="N412" s="117">
        <f>SUM(J412:M412)</f>
        <v>4000</v>
      </c>
      <c r="O412" s="133"/>
    </row>
    <row r="413" spans="1:15" ht="12.75" customHeight="1">
      <c r="A413" s="344"/>
      <c r="B413" s="335"/>
      <c r="C413" s="64" t="s">
        <v>435</v>
      </c>
      <c r="D413" s="117"/>
      <c r="E413" s="117"/>
      <c r="F413" s="117"/>
      <c r="G413" s="117"/>
      <c r="H413" s="117">
        <v>4036</v>
      </c>
      <c r="I413" s="117"/>
      <c r="J413" s="149">
        <f>SUM(D413:H413)</f>
        <v>4036</v>
      </c>
      <c r="K413" s="118"/>
      <c r="L413" s="117"/>
      <c r="M413" s="117"/>
      <c r="N413" s="117">
        <f>SUM(J413:M413)</f>
        <v>4036</v>
      </c>
      <c r="O413" s="133"/>
    </row>
    <row r="414" spans="1:15" ht="12.75" customHeight="1">
      <c r="A414" s="344"/>
      <c r="B414" s="335"/>
      <c r="C414" s="64" t="s">
        <v>436</v>
      </c>
      <c r="D414" s="117"/>
      <c r="E414" s="117"/>
      <c r="F414" s="117">
        <v>0</v>
      </c>
      <c r="G414" s="117"/>
      <c r="H414" s="117">
        <v>4012</v>
      </c>
      <c r="I414" s="117"/>
      <c r="J414" s="149">
        <f>SUM(D414:H414)</f>
        <v>4012</v>
      </c>
      <c r="K414" s="118">
        <v>0</v>
      </c>
      <c r="L414" s="117"/>
      <c r="M414" s="117"/>
      <c r="N414" s="117">
        <f>SUM(J414:M414)</f>
        <v>4012</v>
      </c>
      <c r="O414" s="133"/>
    </row>
    <row r="415" spans="1:15" ht="12.75" customHeight="1">
      <c r="A415" s="344"/>
      <c r="B415" s="335" t="s">
        <v>111</v>
      </c>
      <c r="C415" s="70" t="s">
        <v>395</v>
      </c>
      <c r="D415" s="117"/>
      <c r="E415" s="117"/>
      <c r="F415" s="117"/>
      <c r="G415" s="117"/>
      <c r="H415" s="117"/>
      <c r="I415" s="117"/>
      <c r="J415" s="149"/>
      <c r="K415" s="118"/>
      <c r="L415" s="117"/>
      <c r="M415" s="117"/>
      <c r="N415" s="117"/>
      <c r="O415" s="133"/>
    </row>
    <row r="416" spans="1:15" ht="12.75" customHeight="1">
      <c r="A416" s="344"/>
      <c r="B416" s="335"/>
      <c r="C416" s="64" t="s">
        <v>434</v>
      </c>
      <c r="D416" s="117"/>
      <c r="E416" s="117"/>
      <c r="F416" s="117"/>
      <c r="G416" s="117"/>
      <c r="H416" s="117">
        <v>1000</v>
      </c>
      <c r="I416" s="117"/>
      <c r="J416" s="149">
        <f>SUM(D416:H416)</f>
        <v>1000</v>
      </c>
      <c r="K416" s="118"/>
      <c r="L416" s="117"/>
      <c r="M416" s="117"/>
      <c r="N416" s="117">
        <f>SUM(J416:M416)</f>
        <v>1000</v>
      </c>
      <c r="O416" s="133"/>
    </row>
    <row r="417" spans="1:15" ht="12.75" customHeight="1">
      <c r="A417" s="344"/>
      <c r="B417" s="335"/>
      <c r="C417" s="64" t="s">
        <v>435</v>
      </c>
      <c r="D417" s="117"/>
      <c r="E417" s="117"/>
      <c r="F417" s="117"/>
      <c r="G417" s="117"/>
      <c r="H417" s="117">
        <v>1000</v>
      </c>
      <c r="I417" s="117"/>
      <c r="J417" s="149">
        <f>SUM(D417:H417)</f>
        <v>1000</v>
      </c>
      <c r="K417" s="118"/>
      <c r="L417" s="117"/>
      <c r="M417" s="117"/>
      <c r="N417" s="117">
        <f>SUM(J417:M417)</f>
        <v>1000</v>
      </c>
      <c r="O417" s="133"/>
    </row>
    <row r="418" spans="1:15" ht="12.75" customHeight="1">
      <c r="A418" s="344"/>
      <c r="B418" s="335"/>
      <c r="C418" s="64" t="s">
        <v>436</v>
      </c>
      <c r="D418" s="117"/>
      <c r="E418" s="117"/>
      <c r="F418" s="117"/>
      <c r="G418" s="117"/>
      <c r="H418" s="117">
        <v>583</v>
      </c>
      <c r="I418" s="117"/>
      <c r="J418" s="149">
        <f>SUM(D418:H418)</f>
        <v>583</v>
      </c>
      <c r="K418" s="118"/>
      <c r="L418" s="117"/>
      <c r="M418" s="117"/>
      <c r="N418" s="117">
        <f>SUM(J418:M418)</f>
        <v>583</v>
      </c>
      <c r="O418" s="133"/>
    </row>
    <row r="419" spans="1:15" ht="12.75" customHeight="1">
      <c r="A419" s="344"/>
      <c r="B419" s="335" t="s">
        <v>113</v>
      </c>
      <c r="C419" s="76" t="s">
        <v>397</v>
      </c>
      <c r="D419" s="117"/>
      <c r="E419" s="117"/>
      <c r="F419" s="117"/>
      <c r="G419" s="117"/>
      <c r="H419" s="117"/>
      <c r="I419" s="117"/>
      <c r="J419" s="149"/>
      <c r="K419" s="118"/>
      <c r="L419" s="117"/>
      <c r="M419" s="117"/>
      <c r="N419" s="117"/>
      <c r="O419" s="133"/>
    </row>
    <row r="420" spans="1:15" ht="12.75" customHeight="1">
      <c r="A420" s="344"/>
      <c r="B420" s="335"/>
      <c r="C420" s="64" t="s">
        <v>434</v>
      </c>
      <c r="D420" s="117"/>
      <c r="E420" s="117"/>
      <c r="F420" s="117"/>
      <c r="G420" s="117"/>
      <c r="H420" s="117">
        <v>700</v>
      </c>
      <c r="I420" s="117"/>
      <c r="J420" s="149">
        <f>SUM(D420:H420)</f>
        <v>700</v>
      </c>
      <c r="K420" s="118"/>
      <c r="L420" s="117"/>
      <c r="M420" s="117"/>
      <c r="N420" s="117">
        <f>SUM(J420:M420)</f>
        <v>700</v>
      </c>
      <c r="O420" s="133"/>
    </row>
    <row r="421" spans="1:15" ht="12.75" customHeight="1">
      <c r="A421" s="344"/>
      <c r="B421" s="335"/>
      <c r="C421" s="64" t="s">
        <v>435</v>
      </c>
      <c r="D421" s="117"/>
      <c r="E421" s="117"/>
      <c r="F421" s="117"/>
      <c r="G421" s="117"/>
      <c r="H421" s="117">
        <v>700</v>
      </c>
      <c r="I421" s="117"/>
      <c r="J421" s="149">
        <f>SUM(D421:H421)</f>
        <v>700</v>
      </c>
      <c r="K421" s="118"/>
      <c r="L421" s="117"/>
      <c r="M421" s="117"/>
      <c r="N421" s="117">
        <f>SUM(J421:M421)</f>
        <v>700</v>
      </c>
      <c r="O421" s="133"/>
    </row>
    <row r="422" spans="1:15" ht="12.75" customHeight="1">
      <c r="A422" s="344"/>
      <c r="B422" s="335"/>
      <c r="C422" s="64" t="s">
        <v>436</v>
      </c>
      <c r="D422" s="117"/>
      <c r="E422" s="117"/>
      <c r="F422" s="117"/>
      <c r="G422" s="117"/>
      <c r="H422" s="117">
        <v>614</v>
      </c>
      <c r="I422" s="117"/>
      <c r="J422" s="149">
        <f>SUM(D422:H422)</f>
        <v>614</v>
      </c>
      <c r="K422" s="118"/>
      <c r="L422" s="117"/>
      <c r="M422" s="117"/>
      <c r="N422" s="117">
        <f>SUM(J422:M422)</f>
        <v>614</v>
      </c>
      <c r="O422" s="133"/>
    </row>
    <row r="423" spans="1:15" ht="12.75" customHeight="1">
      <c r="A423" s="344"/>
      <c r="B423" s="335" t="s">
        <v>115</v>
      </c>
      <c r="C423" s="76" t="s">
        <v>400</v>
      </c>
      <c r="D423" s="117"/>
      <c r="E423" s="117"/>
      <c r="F423" s="117"/>
      <c r="G423" s="117"/>
      <c r="H423" s="117"/>
      <c r="I423" s="117"/>
      <c r="J423" s="149"/>
      <c r="K423" s="118"/>
      <c r="L423" s="117"/>
      <c r="M423" s="117"/>
      <c r="N423" s="117"/>
      <c r="O423" s="133"/>
    </row>
    <row r="424" spans="1:15" ht="12.75" customHeight="1">
      <c r="A424" s="344"/>
      <c r="B424" s="335"/>
      <c r="C424" s="64" t="s">
        <v>434</v>
      </c>
      <c r="D424" s="117"/>
      <c r="E424" s="117"/>
      <c r="F424" s="117"/>
      <c r="G424" s="117"/>
      <c r="H424" s="117">
        <v>300</v>
      </c>
      <c r="I424" s="117"/>
      <c r="J424" s="149">
        <f>SUM(D424:H424)</f>
        <v>300</v>
      </c>
      <c r="K424" s="118"/>
      <c r="L424" s="117"/>
      <c r="M424" s="117"/>
      <c r="N424" s="117">
        <f>SUM(J424:M424)</f>
        <v>300</v>
      </c>
      <c r="O424" s="133"/>
    </row>
    <row r="425" spans="1:15" ht="12.75" customHeight="1">
      <c r="A425" s="344"/>
      <c r="B425" s="335"/>
      <c r="C425" s="64" t="s">
        <v>435</v>
      </c>
      <c r="D425" s="117"/>
      <c r="E425" s="117"/>
      <c r="F425" s="117">
        <v>30</v>
      </c>
      <c r="G425" s="117"/>
      <c r="H425" s="117">
        <v>270</v>
      </c>
      <c r="I425" s="117"/>
      <c r="J425" s="149">
        <f>SUM(D425:H425)</f>
        <v>300</v>
      </c>
      <c r="K425" s="118"/>
      <c r="L425" s="117"/>
      <c r="M425" s="117"/>
      <c r="N425" s="117">
        <f>SUM(J425:M425)</f>
        <v>300</v>
      </c>
      <c r="O425" s="133"/>
    </row>
    <row r="426" spans="1:15" ht="12.75" customHeight="1">
      <c r="A426" s="344"/>
      <c r="B426" s="335"/>
      <c r="C426" s="64" t="s">
        <v>436</v>
      </c>
      <c r="D426" s="117"/>
      <c r="E426" s="117"/>
      <c r="F426" s="117">
        <v>30</v>
      </c>
      <c r="G426" s="117"/>
      <c r="H426" s="117">
        <f>40+80</f>
        <v>120</v>
      </c>
      <c r="I426" s="117"/>
      <c r="J426" s="149">
        <f>SUM(D426:H426)</f>
        <v>150</v>
      </c>
      <c r="K426" s="118"/>
      <c r="L426" s="117"/>
      <c r="M426" s="117"/>
      <c r="N426" s="117">
        <f>SUM(J426:M426)</f>
        <v>150</v>
      </c>
      <c r="O426" s="133"/>
    </row>
    <row r="427" spans="1:15" ht="12.75" customHeight="1">
      <c r="A427" s="344"/>
      <c r="B427" s="335" t="s">
        <v>117</v>
      </c>
      <c r="C427" s="90" t="s">
        <v>401</v>
      </c>
      <c r="D427" s="117"/>
      <c r="E427" s="117"/>
      <c r="F427" s="117"/>
      <c r="G427" s="117"/>
      <c r="H427" s="117"/>
      <c r="I427" s="117"/>
      <c r="J427" s="149"/>
      <c r="K427" s="118"/>
      <c r="L427" s="117"/>
      <c r="M427" s="117"/>
      <c r="N427" s="117"/>
      <c r="O427" s="133"/>
    </row>
    <row r="428" spans="1:15" ht="12.75" customHeight="1">
      <c r="A428" s="344"/>
      <c r="B428" s="335"/>
      <c r="C428" s="64" t="s">
        <v>434</v>
      </c>
      <c r="D428" s="117"/>
      <c r="E428" s="117"/>
      <c r="F428" s="117"/>
      <c r="G428" s="117"/>
      <c r="H428" s="117">
        <v>500</v>
      </c>
      <c r="I428" s="117"/>
      <c r="J428" s="149">
        <f>SUM(D428:H428)</f>
        <v>500</v>
      </c>
      <c r="K428" s="118"/>
      <c r="L428" s="117"/>
      <c r="M428" s="117"/>
      <c r="N428" s="117">
        <f>SUM(J428:M428)</f>
        <v>500</v>
      </c>
      <c r="O428" s="133"/>
    </row>
    <row r="429" spans="1:15" ht="12.75" customHeight="1">
      <c r="A429" s="344"/>
      <c r="B429" s="335"/>
      <c r="C429" s="64" t="s">
        <v>435</v>
      </c>
      <c r="D429" s="117"/>
      <c r="E429" s="117"/>
      <c r="F429" s="117"/>
      <c r="G429" s="117"/>
      <c r="H429" s="117">
        <v>500</v>
      </c>
      <c r="I429" s="117"/>
      <c r="J429" s="149">
        <f>SUM(D429:H429)</f>
        <v>500</v>
      </c>
      <c r="K429" s="118"/>
      <c r="L429" s="117"/>
      <c r="M429" s="117"/>
      <c r="N429" s="117">
        <f>SUM(J429:M429)</f>
        <v>500</v>
      </c>
      <c r="O429" s="133"/>
    </row>
    <row r="430" spans="1:15" ht="12.75" customHeight="1">
      <c r="A430" s="344"/>
      <c r="B430" s="335"/>
      <c r="C430" s="64" t="s">
        <v>436</v>
      </c>
      <c r="D430" s="117"/>
      <c r="E430" s="117"/>
      <c r="F430" s="117"/>
      <c r="G430" s="117"/>
      <c r="H430" s="117">
        <v>0</v>
      </c>
      <c r="I430" s="117"/>
      <c r="J430" s="149">
        <f>SUM(D430:H430)</f>
        <v>0</v>
      </c>
      <c r="K430" s="118"/>
      <c r="L430" s="117"/>
      <c r="M430" s="117"/>
      <c r="N430" s="117">
        <f>SUM(J430:M430)</f>
        <v>0</v>
      </c>
      <c r="O430" s="133"/>
    </row>
    <row r="431" spans="1:15" ht="12.75" customHeight="1">
      <c r="A431" s="344"/>
      <c r="B431" s="335" t="s">
        <v>119</v>
      </c>
      <c r="C431" s="91" t="s">
        <v>402</v>
      </c>
      <c r="D431" s="117"/>
      <c r="E431" s="117"/>
      <c r="F431" s="117"/>
      <c r="G431" s="117"/>
      <c r="H431" s="117"/>
      <c r="I431" s="117"/>
      <c r="J431" s="149"/>
      <c r="K431" s="118"/>
      <c r="L431" s="117"/>
      <c r="M431" s="117"/>
      <c r="N431" s="117"/>
      <c r="O431" s="133"/>
    </row>
    <row r="432" spans="1:15" ht="12.75" customHeight="1">
      <c r="A432" s="344"/>
      <c r="B432" s="335"/>
      <c r="C432" s="64" t="s">
        <v>434</v>
      </c>
      <c r="D432" s="117"/>
      <c r="E432" s="117"/>
      <c r="F432" s="117"/>
      <c r="G432" s="117"/>
      <c r="H432" s="117">
        <v>500</v>
      </c>
      <c r="I432" s="117"/>
      <c r="J432" s="149">
        <f>SUM(D432:H432)</f>
        <v>500</v>
      </c>
      <c r="K432" s="118"/>
      <c r="L432" s="117"/>
      <c r="M432" s="117"/>
      <c r="N432" s="117">
        <f>SUM(J432:M432)</f>
        <v>500</v>
      </c>
      <c r="O432" s="133"/>
    </row>
    <row r="433" spans="1:15" ht="12.75" customHeight="1">
      <c r="A433" s="344"/>
      <c r="B433" s="335"/>
      <c r="C433" s="64" t="s">
        <v>435</v>
      </c>
      <c r="D433" s="117"/>
      <c r="E433" s="117"/>
      <c r="F433" s="117"/>
      <c r="G433" s="117"/>
      <c r="H433" s="117">
        <v>500</v>
      </c>
      <c r="I433" s="117"/>
      <c r="J433" s="149">
        <f>SUM(D433:H433)</f>
        <v>500</v>
      </c>
      <c r="K433" s="118"/>
      <c r="L433" s="117"/>
      <c r="M433" s="117"/>
      <c r="N433" s="117">
        <f>SUM(J433:M433)</f>
        <v>500</v>
      </c>
      <c r="O433" s="133"/>
    </row>
    <row r="434" spans="1:15" ht="12.75" customHeight="1">
      <c r="A434" s="344"/>
      <c r="B434" s="335"/>
      <c r="C434" s="64" t="s">
        <v>436</v>
      </c>
      <c r="D434" s="117"/>
      <c r="E434" s="117"/>
      <c r="F434" s="117"/>
      <c r="G434" s="117"/>
      <c r="H434" s="117">
        <v>0</v>
      </c>
      <c r="I434" s="117"/>
      <c r="J434" s="149">
        <f>SUM(D434:H434)</f>
        <v>0</v>
      </c>
      <c r="K434" s="118"/>
      <c r="L434" s="117"/>
      <c r="M434" s="117"/>
      <c r="N434" s="117">
        <f>SUM(J434:M434)</f>
        <v>0</v>
      </c>
      <c r="O434" s="133"/>
    </row>
    <row r="435" spans="1:15" ht="12.75" customHeight="1">
      <c r="A435" s="344"/>
      <c r="B435" s="335" t="s">
        <v>121</v>
      </c>
      <c r="C435" s="892" t="s">
        <v>403</v>
      </c>
      <c r="D435" s="117"/>
      <c r="E435" s="117"/>
      <c r="F435" s="117"/>
      <c r="G435" s="117"/>
      <c r="H435" s="117"/>
      <c r="I435" s="117"/>
      <c r="J435" s="149"/>
      <c r="K435" s="118"/>
      <c r="L435" s="117"/>
      <c r="M435" s="117"/>
      <c r="N435" s="117"/>
      <c r="O435" s="133"/>
    </row>
    <row r="436" spans="1:15" ht="12.75" customHeight="1">
      <c r="A436" s="344"/>
      <c r="B436" s="335"/>
      <c r="C436" s="64" t="s">
        <v>434</v>
      </c>
      <c r="D436" s="117"/>
      <c r="E436" s="117"/>
      <c r="F436" s="117"/>
      <c r="G436" s="117"/>
      <c r="H436" s="117">
        <v>500</v>
      </c>
      <c r="I436" s="117"/>
      <c r="J436" s="149">
        <f>SUM(D436:H436)</f>
        <v>500</v>
      </c>
      <c r="K436" s="118"/>
      <c r="L436" s="117"/>
      <c r="M436" s="117"/>
      <c r="N436" s="117">
        <f>SUM(J436:M436)</f>
        <v>500</v>
      </c>
      <c r="O436" s="133"/>
    </row>
    <row r="437" spans="1:15" ht="12.75" customHeight="1">
      <c r="A437" s="344"/>
      <c r="B437" s="335"/>
      <c r="C437" s="64" t="s">
        <v>435</v>
      </c>
      <c r="D437" s="117"/>
      <c r="E437" s="117"/>
      <c r="F437" s="117"/>
      <c r="G437" s="117"/>
      <c r="H437" s="117">
        <v>520</v>
      </c>
      <c r="I437" s="117"/>
      <c r="J437" s="149">
        <f>SUM(D437:H437)</f>
        <v>520</v>
      </c>
      <c r="K437" s="118"/>
      <c r="L437" s="117"/>
      <c r="M437" s="117"/>
      <c r="N437" s="117">
        <f>SUM(J437:M437)</f>
        <v>520</v>
      </c>
      <c r="O437" s="133"/>
    </row>
    <row r="438" spans="1:15" ht="12.75" customHeight="1">
      <c r="A438" s="344"/>
      <c r="B438" s="335"/>
      <c r="C438" s="64" t="s">
        <v>436</v>
      </c>
      <c r="D438" s="117"/>
      <c r="E438" s="117"/>
      <c r="F438" s="117">
        <v>0</v>
      </c>
      <c r="G438" s="117"/>
      <c r="H438" s="117">
        <v>320</v>
      </c>
      <c r="I438" s="117"/>
      <c r="J438" s="149">
        <f>SUM(D438:H438)</f>
        <v>320</v>
      </c>
      <c r="K438" s="118"/>
      <c r="L438" s="117"/>
      <c r="M438" s="117"/>
      <c r="N438" s="117">
        <f>SUM(J438:M438)</f>
        <v>320</v>
      </c>
      <c r="O438" s="133"/>
    </row>
    <row r="439" spans="1:15" ht="13.5" customHeight="1">
      <c r="A439" s="344"/>
      <c r="B439" s="335" t="s">
        <v>122</v>
      </c>
      <c r="C439" s="92" t="s">
        <v>404</v>
      </c>
      <c r="D439" s="117"/>
      <c r="E439" s="117"/>
      <c r="F439" s="117"/>
      <c r="G439" s="117"/>
      <c r="H439" s="117"/>
      <c r="I439" s="117"/>
      <c r="J439" s="149"/>
      <c r="K439" s="118"/>
      <c r="L439" s="117"/>
      <c r="M439" s="117"/>
      <c r="N439" s="117"/>
      <c r="O439" s="133"/>
    </row>
    <row r="440" spans="1:15" ht="13.5" customHeight="1">
      <c r="A440" s="344"/>
      <c r="B440" s="335"/>
      <c r="C440" s="64" t="s">
        <v>434</v>
      </c>
      <c r="D440" s="117"/>
      <c r="E440" s="117"/>
      <c r="F440" s="117"/>
      <c r="G440" s="117"/>
      <c r="H440" s="117">
        <v>4000</v>
      </c>
      <c r="I440" s="117"/>
      <c r="J440" s="149">
        <f>SUM(D440:H440)</f>
        <v>4000</v>
      </c>
      <c r="K440" s="118"/>
      <c r="L440" s="117"/>
      <c r="M440" s="117"/>
      <c r="N440" s="117">
        <f>SUM(J440:M440)</f>
        <v>4000</v>
      </c>
      <c r="O440" s="133"/>
    </row>
    <row r="441" spans="1:15" ht="13.5" customHeight="1">
      <c r="A441" s="344"/>
      <c r="B441" s="335"/>
      <c r="C441" s="64" t="s">
        <v>435</v>
      </c>
      <c r="D441" s="117"/>
      <c r="E441" s="117"/>
      <c r="F441" s="117"/>
      <c r="G441" s="117"/>
      <c r="H441" s="117">
        <v>4000</v>
      </c>
      <c r="I441" s="117">
        <v>0</v>
      </c>
      <c r="J441" s="149">
        <f>SUM(D441:I441)</f>
        <v>4000</v>
      </c>
      <c r="K441" s="118"/>
      <c r="L441" s="117"/>
      <c r="M441" s="117"/>
      <c r="N441" s="117">
        <f>SUM(J441:M441)</f>
        <v>4000</v>
      </c>
      <c r="O441" s="133"/>
    </row>
    <row r="442" spans="1:15" ht="13.5" customHeight="1">
      <c r="A442" s="344"/>
      <c r="B442" s="335"/>
      <c r="C442" s="64" t="s">
        <v>436</v>
      </c>
      <c r="D442" s="117"/>
      <c r="E442" s="117"/>
      <c r="F442" s="117"/>
      <c r="G442" s="117"/>
      <c r="H442" s="117">
        <v>3250</v>
      </c>
      <c r="I442" s="117">
        <v>0</v>
      </c>
      <c r="J442" s="149">
        <f>SUM(D442:I442)</f>
        <v>3250</v>
      </c>
      <c r="K442" s="118"/>
      <c r="L442" s="117"/>
      <c r="M442" s="117"/>
      <c r="N442" s="117">
        <f>SUM(J442:M442)</f>
        <v>3250</v>
      </c>
      <c r="O442" s="133"/>
    </row>
    <row r="443" spans="1:15" ht="11.25" customHeight="1">
      <c r="A443" s="344"/>
      <c r="B443" s="335" t="s">
        <v>124</v>
      </c>
      <c r="C443" s="89" t="s">
        <v>405</v>
      </c>
      <c r="D443" s="117"/>
      <c r="E443" s="117"/>
      <c r="F443" s="117"/>
      <c r="G443" s="117"/>
      <c r="H443" s="117"/>
      <c r="I443" s="117"/>
      <c r="J443" s="149"/>
      <c r="K443" s="118"/>
      <c r="L443" s="117"/>
      <c r="M443" s="117"/>
      <c r="N443" s="117"/>
      <c r="O443" s="133"/>
    </row>
    <row r="444" spans="1:15" ht="12.75" customHeight="1">
      <c r="A444" s="344"/>
      <c r="B444" s="335"/>
      <c r="C444" s="64" t="s">
        <v>434</v>
      </c>
      <c r="D444" s="117"/>
      <c r="E444" s="117"/>
      <c r="F444" s="117"/>
      <c r="G444" s="117"/>
      <c r="H444" s="117">
        <v>3000</v>
      </c>
      <c r="I444" s="117"/>
      <c r="J444" s="149">
        <f>SUM(D444:H444)</f>
        <v>3000</v>
      </c>
      <c r="K444" s="118"/>
      <c r="L444" s="117"/>
      <c r="M444" s="117"/>
      <c r="N444" s="117">
        <f>SUM(J444:M444)</f>
        <v>3000</v>
      </c>
      <c r="O444" s="133"/>
    </row>
    <row r="445" spans="1:15" ht="12.75" customHeight="1">
      <c r="A445" s="344"/>
      <c r="B445" s="335"/>
      <c r="C445" s="64" t="s">
        <v>435</v>
      </c>
      <c r="D445" s="117"/>
      <c r="E445" s="117"/>
      <c r="F445" s="117"/>
      <c r="G445" s="117"/>
      <c r="H445" s="117">
        <v>2200</v>
      </c>
      <c r="I445" s="117"/>
      <c r="J445" s="149">
        <f>SUM(D445:H445)</f>
        <v>2200</v>
      </c>
      <c r="K445" s="118"/>
      <c r="L445" s="117"/>
      <c r="M445" s="117"/>
      <c r="N445" s="117">
        <f>SUM(J445:M445)</f>
        <v>2200</v>
      </c>
      <c r="O445" s="133"/>
    </row>
    <row r="446" spans="1:15" ht="12.75" customHeight="1">
      <c r="A446" s="344"/>
      <c r="B446" s="335"/>
      <c r="C446" s="64" t="s">
        <v>436</v>
      </c>
      <c r="D446" s="117"/>
      <c r="E446" s="117"/>
      <c r="F446" s="117"/>
      <c r="G446" s="117"/>
      <c r="H446" s="117">
        <v>0</v>
      </c>
      <c r="I446" s="117"/>
      <c r="J446" s="149">
        <f>SUM(D446:H446)</f>
        <v>0</v>
      </c>
      <c r="K446" s="118"/>
      <c r="L446" s="117"/>
      <c r="M446" s="117"/>
      <c r="N446" s="117">
        <f>SUM(J446:M446)</f>
        <v>0</v>
      </c>
      <c r="O446" s="133"/>
    </row>
    <row r="447" spans="1:15" ht="12.75" customHeight="1">
      <c r="A447" s="350"/>
      <c r="B447" s="1108">
        <v>10</v>
      </c>
      <c r="C447" s="906" t="s">
        <v>513</v>
      </c>
      <c r="D447" s="112"/>
      <c r="E447" s="112"/>
      <c r="F447" s="112"/>
      <c r="G447" s="112"/>
      <c r="H447" s="112"/>
      <c r="I447" s="112"/>
      <c r="J447" s="113"/>
      <c r="K447" s="114"/>
      <c r="L447" s="112"/>
      <c r="M447" s="112"/>
      <c r="N447" s="112"/>
      <c r="O447" s="169"/>
    </row>
    <row r="448" spans="1:15" ht="12.75" customHeight="1">
      <c r="A448" s="350"/>
      <c r="B448" s="1108"/>
      <c r="C448" s="64" t="s">
        <v>434</v>
      </c>
      <c r="D448" s="112"/>
      <c r="E448" s="112"/>
      <c r="F448" s="112"/>
      <c r="G448" s="112"/>
      <c r="H448" s="112">
        <v>1500</v>
      </c>
      <c r="I448" s="112"/>
      <c r="J448" s="113">
        <f>SUM(D448:I448)</f>
        <v>1500</v>
      </c>
      <c r="K448" s="114"/>
      <c r="L448" s="112"/>
      <c r="M448" s="112"/>
      <c r="N448" s="112">
        <f>SUM(J448:M448)</f>
        <v>1500</v>
      </c>
      <c r="O448" s="169"/>
    </row>
    <row r="449" spans="1:15" ht="12.75" customHeight="1">
      <c r="A449" s="350"/>
      <c r="B449" s="1108"/>
      <c r="C449" s="64" t="s">
        <v>435</v>
      </c>
      <c r="D449" s="112"/>
      <c r="E449" s="112"/>
      <c r="F449" s="112"/>
      <c r="G449" s="112"/>
      <c r="H449" s="112">
        <v>1500</v>
      </c>
      <c r="I449" s="112"/>
      <c r="J449" s="113">
        <f>SUM(D449:I449)</f>
        <v>1500</v>
      </c>
      <c r="K449" s="114"/>
      <c r="L449" s="112"/>
      <c r="M449" s="112"/>
      <c r="N449" s="112">
        <f>SUM(J449:M449)</f>
        <v>1500</v>
      </c>
      <c r="O449" s="169"/>
    </row>
    <row r="450" spans="1:15" ht="12.75" customHeight="1" thickBot="1">
      <c r="A450" s="350"/>
      <c r="B450" s="1108"/>
      <c r="C450" s="64" t="s">
        <v>436</v>
      </c>
      <c r="D450" s="112"/>
      <c r="E450" s="112"/>
      <c r="F450" s="112"/>
      <c r="G450" s="112"/>
      <c r="H450" s="112">
        <v>110</v>
      </c>
      <c r="I450" s="112"/>
      <c r="J450" s="113">
        <f>SUM(D450:I450)</f>
        <v>110</v>
      </c>
      <c r="K450" s="114"/>
      <c r="L450" s="112"/>
      <c r="M450" s="112"/>
      <c r="N450" s="112">
        <f>SUM(J450:M450)</f>
        <v>110</v>
      </c>
      <c r="O450" s="169"/>
    </row>
    <row r="451" spans="1:15" ht="12.75" customHeight="1">
      <c r="A451" s="332">
        <v>27</v>
      </c>
      <c r="B451" s="1098"/>
      <c r="C451" s="69" t="s">
        <v>300</v>
      </c>
      <c r="D451" s="139"/>
      <c r="E451" s="139"/>
      <c r="F451" s="139"/>
      <c r="G451" s="139"/>
      <c r="H451" s="139"/>
      <c r="I451" s="139"/>
      <c r="J451" s="140"/>
      <c r="K451" s="141"/>
      <c r="L451" s="139"/>
      <c r="M451" s="139"/>
      <c r="N451" s="139"/>
      <c r="O451" s="140"/>
    </row>
    <row r="452" spans="1:15" ht="12.75" customHeight="1">
      <c r="A452" s="344"/>
      <c r="B452" s="116"/>
      <c r="C452" s="67" t="s">
        <v>434</v>
      </c>
      <c r="D452" s="130">
        <f aca="true" t="shared" si="36" ref="D452:I452">D456</f>
        <v>0</v>
      </c>
      <c r="E452" s="130">
        <f t="shared" si="36"/>
        <v>0</v>
      </c>
      <c r="F452" s="130">
        <f t="shared" si="36"/>
        <v>0</v>
      </c>
      <c r="G452" s="130">
        <f t="shared" si="36"/>
        <v>0</v>
      </c>
      <c r="H452" s="130">
        <f t="shared" si="36"/>
        <v>0</v>
      </c>
      <c r="I452" s="130">
        <f t="shared" si="36"/>
        <v>0</v>
      </c>
      <c r="J452" s="131">
        <f>SUM(D452:I452)</f>
        <v>0</v>
      </c>
      <c r="K452" s="132">
        <f aca="true" t="shared" si="37" ref="K452:M454">K456+K460+K464</f>
        <v>0</v>
      </c>
      <c r="L452" s="132">
        <f t="shared" si="37"/>
        <v>20600</v>
      </c>
      <c r="M452" s="132">
        <f t="shared" si="37"/>
        <v>0</v>
      </c>
      <c r="N452" s="130">
        <f>SUM(J452:M452)</f>
        <v>20600</v>
      </c>
      <c r="O452" s="131"/>
    </row>
    <row r="453" spans="1:15" ht="12.75" customHeight="1">
      <c r="A453" s="344"/>
      <c r="B453" s="116"/>
      <c r="C453" s="67" t="s">
        <v>435</v>
      </c>
      <c r="D453" s="130">
        <f aca="true" t="shared" si="38" ref="D453:I454">D457+D461</f>
        <v>0</v>
      </c>
      <c r="E453" s="130">
        <f t="shared" si="38"/>
        <v>0</v>
      </c>
      <c r="F453" s="130">
        <f t="shared" si="38"/>
        <v>3</v>
      </c>
      <c r="G453" s="130">
        <f t="shared" si="38"/>
        <v>0</v>
      </c>
      <c r="H453" s="130">
        <f t="shared" si="38"/>
        <v>0</v>
      </c>
      <c r="I453" s="130">
        <f t="shared" si="38"/>
        <v>0</v>
      </c>
      <c r="J453" s="131">
        <f>SUM(D453:I453)</f>
        <v>3</v>
      </c>
      <c r="K453" s="132">
        <f t="shared" si="37"/>
        <v>34613</v>
      </c>
      <c r="L453" s="132">
        <f t="shared" si="37"/>
        <v>5100</v>
      </c>
      <c r="M453" s="132">
        <f t="shared" si="37"/>
        <v>0</v>
      </c>
      <c r="N453" s="130">
        <f>SUM(J453:M453)</f>
        <v>39716</v>
      </c>
      <c r="O453" s="131"/>
    </row>
    <row r="454" spans="1:15" ht="12.75" customHeight="1">
      <c r="A454" s="344"/>
      <c r="B454" s="116"/>
      <c r="C454" s="67" t="s">
        <v>436</v>
      </c>
      <c r="D454" s="130">
        <f t="shared" si="38"/>
        <v>0</v>
      </c>
      <c r="E454" s="130">
        <f t="shared" si="38"/>
        <v>0</v>
      </c>
      <c r="F454" s="130">
        <f t="shared" si="38"/>
        <v>3</v>
      </c>
      <c r="G454" s="130">
        <f t="shared" si="38"/>
        <v>0</v>
      </c>
      <c r="H454" s="130">
        <f t="shared" si="38"/>
        <v>0</v>
      </c>
      <c r="I454" s="130">
        <f t="shared" si="38"/>
        <v>0</v>
      </c>
      <c r="J454" s="131">
        <f>SUM(D454:I454)</f>
        <v>3</v>
      </c>
      <c r="K454" s="132">
        <f t="shared" si="37"/>
        <v>10954</v>
      </c>
      <c r="L454" s="132">
        <f t="shared" si="37"/>
        <v>4581</v>
      </c>
      <c r="M454" s="132">
        <f t="shared" si="37"/>
        <v>0</v>
      </c>
      <c r="N454" s="130">
        <f>SUM(J454:M454)</f>
        <v>15538</v>
      </c>
      <c r="O454" s="131"/>
    </row>
    <row r="455" spans="1:15" ht="12.75" customHeight="1">
      <c r="A455" s="344"/>
      <c r="B455" s="335" t="s">
        <v>109</v>
      </c>
      <c r="C455" s="75" t="s">
        <v>406</v>
      </c>
      <c r="D455" s="117"/>
      <c r="E455" s="117"/>
      <c r="F455" s="117"/>
      <c r="G455" s="117"/>
      <c r="H455" s="117"/>
      <c r="I455" s="117"/>
      <c r="J455" s="149"/>
      <c r="K455" s="118"/>
      <c r="L455" s="117"/>
      <c r="M455" s="117"/>
      <c r="N455" s="117"/>
      <c r="O455" s="133"/>
    </row>
    <row r="456" spans="1:15" ht="12.75" customHeight="1">
      <c r="A456" s="344"/>
      <c r="B456" s="335"/>
      <c r="C456" s="64" t="s">
        <v>434</v>
      </c>
      <c r="D456" s="117"/>
      <c r="E456" s="117"/>
      <c r="F456" s="117">
        <v>0</v>
      </c>
      <c r="G456" s="117"/>
      <c r="H456" s="117"/>
      <c r="I456" s="117"/>
      <c r="J456" s="149">
        <f>SUM(D456:H456)</f>
        <v>0</v>
      </c>
      <c r="K456" s="118"/>
      <c r="L456" s="117">
        <v>600</v>
      </c>
      <c r="M456" s="117"/>
      <c r="N456" s="117">
        <f>SUM(J456:M456)</f>
        <v>600</v>
      </c>
      <c r="O456" s="133"/>
    </row>
    <row r="457" spans="1:15" ht="12.75" customHeight="1">
      <c r="A457" s="344"/>
      <c r="B457" s="335"/>
      <c r="C457" s="64" t="s">
        <v>435</v>
      </c>
      <c r="D457" s="117"/>
      <c r="E457" s="117"/>
      <c r="F457" s="117">
        <v>3</v>
      </c>
      <c r="G457" s="117"/>
      <c r="H457" s="117"/>
      <c r="I457" s="117"/>
      <c r="J457" s="149">
        <f>SUM(D457:H457)</f>
        <v>3</v>
      </c>
      <c r="K457" s="118">
        <v>0</v>
      </c>
      <c r="L457" s="117">
        <v>600</v>
      </c>
      <c r="M457" s="117"/>
      <c r="N457" s="117">
        <f>SUM(J457:M457)</f>
        <v>603</v>
      </c>
      <c r="O457" s="133"/>
    </row>
    <row r="458" spans="1:15" ht="12.75" customHeight="1">
      <c r="A458" s="344"/>
      <c r="B458" s="335"/>
      <c r="C458" s="64" t="s">
        <v>436</v>
      </c>
      <c r="D458" s="117"/>
      <c r="E458" s="117"/>
      <c r="F458" s="117">
        <v>3</v>
      </c>
      <c r="G458" s="117"/>
      <c r="H458" s="117"/>
      <c r="I458" s="117"/>
      <c r="J458" s="149">
        <f>SUM(D458:H458)</f>
        <v>3</v>
      </c>
      <c r="K458" s="118">
        <v>0</v>
      </c>
      <c r="L458" s="117">
        <v>81</v>
      </c>
      <c r="M458" s="117"/>
      <c r="N458" s="117">
        <f>SUM(J458:M458)</f>
        <v>84</v>
      </c>
      <c r="O458" s="133"/>
    </row>
    <row r="459" spans="1:15" ht="12.75" customHeight="1">
      <c r="A459" s="350"/>
      <c r="B459" s="1108" t="s">
        <v>111</v>
      </c>
      <c r="C459" s="78" t="s">
        <v>697</v>
      </c>
      <c r="D459" s="112"/>
      <c r="E459" s="112"/>
      <c r="F459" s="112"/>
      <c r="G459" s="112"/>
      <c r="H459" s="112"/>
      <c r="I459" s="112"/>
      <c r="J459" s="113"/>
      <c r="K459" s="114"/>
      <c r="L459" s="112"/>
      <c r="M459" s="112"/>
      <c r="N459" s="112"/>
      <c r="O459" s="169"/>
    </row>
    <row r="460" spans="1:15" ht="12.75" customHeight="1">
      <c r="A460" s="350"/>
      <c r="B460" s="1108"/>
      <c r="C460" s="64" t="s">
        <v>434</v>
      </c>
      <c r="D460" s="112"/>
      <c r="E460" s="112"/>
      <c r="F460" s="112"/>
      <c r="G460" s="112"/>
      <c r="H460" s="112"/>
      <c r="I460" s="112"/>
      <c r="J460" s="113">
        <f>SUM(D460:I460)</f>
        <v>0</v>
      </c>
      <c r="K460" s="114"/>
      <c r="L460" s="112">
        <v>20000</v>
      </c>
      <c r="M460" s="112"/>
      <c r="N460" s="112">
        <f>SUM(J460:M460)</f>
        <v>20000</v>
      </c>
      <c r="O460" s="169"/>
    </row>
    <row r="461" spans="1:15" ht="12.75" customHeight="1">
      <c r="A461" s="350"/>
      <c r="B461" s="1108"/>
      <c r="C461" s="64" t="s">
        <v>435</v>
      </c>
      <c r="D461" s="112"/>
      <c r="E461" s="112"/>
      <c r="F461" s="112"/>
      <c r="G461" s="112"/>
      <c r="H461" s="112"/>
      <c r="I461" s="112"/>
      <c r="J461" s="113">
        <f>SUM(D461:I461)</f>
        <v>0</v>
      </c>
      <c r="K461" s="114">
        <v>24200</v>
      </c>
      <c r="L461" s="112">
        <v>4500</v>
      </c>
      <c r="M461" s="112"/>
      <c r="N461" s="112">
        <f>SUM(J461:M461)</f>
        <v>28700</v>
      </c>
      <c r="O461" s="169"/>
    </row>
    <row r="462" spans="1:15" ht="12.75" customHeight="1">
      <c r="A462" s="350"/>
      <c r="B462" s="1108"/>
      <c r="C462" s="64" t="s">
        <v>436</v>
      </c>
      <c r="D462" s="112"/>
      <c r="E462" s="112"/>
      <c r="F462" s="112"/>
      <c r="G462" s="112"/>
      <c r="H462" s="112"/>
      <c r="I462" s="112"/>
      <c r="J462" s="113">
        <f>SUM(D462:I462)</f>
        <v>0</v>
      </c>
      <c r="K462" s="114">
        <f>261+224+56</f>
        <v>541</v>
      </c>
      <c r="L462" s="112">
        <v>4500</v>
      </c>
      <c r="M462" s="112"/>
      <c r="N462" s="112">
        <f>SUM(J462:M462)</f>
        <v>5041</v>
      </c>
      <c r="O462" s="169"/>
    </row>
    <row r="463" spans="1:15" ht="12.75" customHeight="1">
      <c r="A463" s="350"/>
      <c r="B463" s="1108">
        <v>3</v>
      </c>
      <c r="C463" s="906" t="s">
        <v>514</v>
      </c>
      <c r="D463" s="112"/>
      <c r="E463" s="112"/>
      <c r="F463" s="112"/>
      <c r="G463" s="112"/>
      <c r="H463" s="112"/>
      <c r="I463" s="112"/>
      <c r="J463" s="113"/>
      <c r="K463" s="114"/>
      <c r="L463" s="112"/>
      <c r="M463" s="112"/>
      <c r="N463" s="112"/>
      <c r="O463" s="169"/>
    </row>
    <row r="464" spans="1:15" ht="12.75" customHeight="1">
      <c r="A464" s="350"/>
      <c r="B464" s="1108"/>
      <c r="C464" s="64" t="s">
        <v>434</v>
      </c>
      <c r="D464" s="112"/>
      <c r="E464" s="112"/>
      <c r="F464" s="112"/>
      <c r="G464" s="112"/>
      <c r="H464" s="112"/>
      <c r="I464" s="112"/>
      <c r="J464" s="113">
        <f>SUM(D464:I464)</f>
        <v>0</v>
      </c>
      <c r="K464" s="114"/>
      <c r="L464" s="112"/>
      <c r="M464" s="112"/>
      <c r="N464" s="112">
        <f>SUM(J464:M464)</f>
        <v>0</v>
      </c>
      <c r="O464" s="169"/>
    </row>
    <row r="465" spans="1:15" ht="12.75" customHeight="1">
      <c r="A465" s="350"/>
      <c r="B465" s="1108"/>
      <c r="C465" s="64" t="s">
        <v>435</v>
      </c>
      <c r="D465" s="112"/>
      <c r="E465" s="112"/>
      <c r="F465" s="112"/>
      <c r="G465" s="112"/>
      <c r="H465" s="112"/>
      <c r="I465" s="112"/>
      <c r="J465" s="113">
        <f>SUM(D465:I465)</f>
        <v>0</v>
      </c>
      <c r="K465" s="114">
        <v>10413</v>
      </c>
      <c r="L465" s="112"/>
      <c r="M465" s="112"/>
      <c r="N465" s="112">
        <f>SUM(J465:M465)</f>
        <v>10413</v>
      </c>
      <c r="O465" s="169"/>
    </row>
    <row r="466" spans="1:15" ht="12.75" customHeight="1" thickBot="1">
      <c r="A466" s="350"/>
      <c r="B466" s="1108"/>
      <c r="C466" s="64" t="s">
        <v>436</v>
      </c>
      <c r="D466" s="112"/>
      <c r="E466" s="112"/>
      <c r="F466" s="112"/>
      <c r="G466" s="112"/>
      <c r="H466" s="112"/>
      <c r="I466" s="112"/>
      <c r="J466" s="113">
        <f>SUM(D466:I466)</f>
        <v>0</v>
      </c>
      <c r="K466" s="114">
        <v>10413</v>
      </c>
      <c r="L466" s="112"/>
      <c r="M466" s="112"/>
      <c r="N466" s="112">
        <f>SUM(J466:M466)</f>
        <v>10413</v>
      </c>
      <c r="O466" s="169"/>
    </row>
    <row r="467" spans="1:15" ht="12.75" customHeight="1">
      <c r="A467" s="332">
        <v>28</v>
      </c>
      <c r="B467" s="1098"/>
      <c r="C467" s="69" t="s">
        <v>301</v>
      </c>
      <c r="D467" s="139"/>
      <c r="E467" s="139"/>
      <c r="F467" s="139"/>
      <c r="G467" s="139"/>
      <c r="H467" s="139"/>
      <c r="I467" s="139"/>
      <c r="J467" s="140"/>
      <c r="K467" s="141"/>
      <c r="L467" s="139"/>
      <c r="M467" s="139"/>
      <c r="N467" s="139"/>
      <c r="O467" s="142"/>
    </row>
    <row r="468" spans="1:15" ht="12.75" customHeight="1">
      <c r="A468" s="344"/>
      <c r="B468" s="116"/>
      <c r="C468" s="67" t="s">
        <v>434</v>
      </c>
      <c r="D468" s="130">
        <f aca="true" t="shared" si="39" ref="D468:I468">D472+D476+D480+D484+D488</f>
        <v>0</v>
      </c>
      <c r="E468" s="130">
        <f t="shared" si="39"/>
        <v>0</v>
      </c>
      <c r="F468" s="130">
        <f t="shared" si="39"/>
        <v>37919</v>
      </c>
      <c r="G468" s="130">
        <f t="shared" si="39"/>
        <v>0</v>
      </c>
      <c r="H468" s="130">
        <f t="shared" si="39"/>
        <v>1669</v>
      </c>
      <c r="I468" s="130">
        <f t="shared" si="39"/>
        <v>0</v>
      </c>
      <c r="J468" s="131">
        <f>SUM(D468:I468)</f>
        <v>39588</v>
      </c>
      <c r="K468" s="130">
        <f>K472+K476+K480+K484+K488</f>
        <v>0</v>
      </c>
      <c r="L468" s="130">
        <f>L472+L476+L480+L484+L488</f>
        <v>0</v>
      </c>
      <c r="M468" s="130">
        <f>M472+M476+M480+M484+M488</f>
        <v>0</v>
      </c>
      <c r="N468" s="130">
        <f>SUM(J468:M468)</f>
        <v>39588</v>
      </c>
      <c r="O468" s="119"/>
    </row>
    <row r="469" spans="1:15" ht="12.75" customHeight="1">
      <c r="A469" s="344"/>
      <c r="B469" s="116"/>
      <c r="C469" s="67" t="s">
        <v>435</v>
      </c>
      <c r="D469" s="130">
        <f aca="true" t="shared" si="40" ref="D469:I470">D473+D477+D481+D485+D489</f>
        <v>0</v>
      </c>
      <c r="E469" s="130">
        <f t="shared" si="40"/>
        <v>0</v>
      </c>
      <c r="F469" s="130">
        <f t="shared" si="40"/>
        <v>41463</v>
      </c>
      <c r="G469" s="130">
        <f t="shared" si="40"/>
        <v>0</v>
      </c>
      <c r="H469" s="130">
        <f t="shared" si="40"/>
        <v>0</v>
      </c>
      <c r="I469" s="130">
        <f t="shared" si="40"/>
        <v>0</v>
      </c>
      <c r="J469" s="131">
        <f>SUM(D469:I469)</f>
        <v>41463</v>
      </c>
      <c r="K469" s="130">
        <f aca="true" t="shared" si="41" ref="K469:M470">K473+K477+K481+K485+K489</f>
        <v>0</v>
      </c>
      <c r="L469" s="130">
        <f t="shared" si="41"/>
        <v>0</v>
      </c>
      <c r="M469" s="130">
        <f t="shared" si="41"/>
        <v>0</v>
      </c>
      <c r="N469" s="130">
        <f>SUM(J469:M469)</f>
        <v>41463</v>
      </c>
      <c r="O469" s="119"/>
    </row>
    <row r="470" spans="1:15" ht="12.75" customHeight="1">
      <c r="A470" s="344"/>
      <c r="B470" s="116"/>
      <c r="C470" s="67" t="s">
        <v>436</v>
      </c>
      <c r="D470" s="130">
        <f t="shared" si="40"/>
        <v>0</v>
      </c>
      <c r="E470" s="130">
        <f t="shared" si="40"/>
        <v>0</v>
      </c>
      <c r="F470" s="130">
        <f t="shared" si="40"/>
        <v>24734</v>
      </c>
      <c r="G470" s="130">
        <f t="shared" si="40"/>
        <v>0</v>
      </c>
      <c r="H470" s="130">
        <f t="shared" si="40"/>
        <v>0</v>
      </c>
      <c r="I470" s="130">
        <f t="shared" si="40"/>
        <v>0</v>
      </c>
      <c r="J470" s="131">
        <f>SUM(D470:I470)</f>
        <v>24734</v>
      </c>
      <c r="K470" s="130">
        <f t="shared" si="41"/>
        <v>0</v>
      </c>
      <c r="L470" s="130">
        <f t="shared" si="41"/>
        <v>0</v>
      </c>
      <c r="M470" s="130">
        <f t="shared" si="41"/>
        <v>0</v>
      </c>
      <c r="N470" s="130">
        <f>SUM(J470:M470)</f>
        <v>24734</v>
      </c>
      <c r="O470" s="119"/>
    </row>
    <row r="471" spans="1:15" ht="12" customHeight="1">
      <c r="A471" s="344"/>
      <c r="B471" s="335" t="s">
        <v>109</v>
      </c>
      <c r="C471" s="70" t="s">
        <v>407</v>
      </c>
      <c r="D471" s="117"/>
      <c r="E471" s="117"/>
      <c r="F471" s="117"/>
      <c r="G471" s="117"/>
      <c r="H471" s="117"/>
      <c r="I471" s="117"/>
      <c r="J471" s="149"/>
      <c r="K471" s="118"/>
      <c r="L471" s="117"/>
      <c r="M471" s="117"/>
      <c r="N471" s="117"/>
      <c r="O471" s="119"/>
    </row>
    <row r="472" spans="1:15" ht="12" customHeight="1">
      <c r="A472" s="344"/>
      <c r="B472" s="335"/>
      <c r="C472" s="64" t="s">
        <v>434</v>
      </c>
      <c r="D472" s="117"/>
      <c r="E472" s="117"/>
      <c r="F472" s="117">
        <v>5400</v>
      </c>
      <c r="G472" s="117"/>
      <c r="H472" s="117"/>
      <c r="I472" s="117"/>
      <c r="J472" s="149">
        <f>SUM(D472:H472)</f>
        <v>5400</v>
      </c>
      <c r="K472" s="118"/>
      <c r="L472" s="117"/>
      <c r="M472" s="117"/>
      <c r="N472" s="117">
        <f>SUM(J472:M472)</f>
        <v>5400</v>
      </c>
      <c r="O472" s="119"/>
    </row>
    <row r="473" spans="1:15" ht="12" customHeight="1">
      <c r="A473" s="344"/>
      <c r="B473" s="335"/>
      <c r="C473" s="64" t="s">
        <v>435</v>
      </c>
      <c r="D473" s="117"/>
      <c r="E473" s="117"/>
      <c r="F473" s="117">
        <v>9409</v>
      </c>
      <c r="G473" s="117"/>
      <c r="H473" s="117"/>
      <c r="I473" s="117"/>
      <c r="J473" s="149">
        <f>SUM(D473:H473)</f>
        <v>9409</v>
      </c>
      <c r="K473" s="118"/>
      <c r="L473" s="117"/>
      <c r="M473" s="117"/>
      <c r="N473" s="117">
        <f>SUM(J473:M473)</f>
        <v>9409</v>
      </c>
      <c r="O473" s="119"/>
    </row>
    <row r="474" spans="1:15" ht="12" customHeight="1">
      <c r="A474" s="344"/>
      <c r="B474" s="335"/>
      <c r="C474" s="64" t="s">
        <v>436</v>
      </c>
      <c r="D474" s="117"/>
      <c r="E474" s="117"/>
      <c r="F474" s="117">
        <v>4064</v>
      </c>
      <c r="G474" s="117"/>
      <c r="H474" s="117"/>
      <c r="I474" s="117"/>
      <c r="J474" s="149">
        <f>SUM(D474:H474)</f>
        <v>4064</v>
      </c>
      <c r="K474" s="118"/>
      <c r="L474" s="117"/>
      <c r="M474" s="117"/>
      <c r="N474" s="117">
        <f>SUM(J474:M474)</f>
        <v>4064</v>
      </c>
      <c r="O474" s="119"/>
    </row>
    <row r="475" spans="1:15" ht="12" customHeight="1">
      <c r="A475" s="344"/>
      <c r="B475" s="335" t="s">
        <v>111</v>
      </c>
      <c r="C475" s="76" t="s">
        <v>408</v>
      </c>
      <c r="D475" s="117"/>
      <c r="E475" s="117"/>
      <c r="F475" s="117"/>
      <c r="G475" s="117"/>
      <c r="H475" s="117"/>
      <c r="I475" s="117"/>
      <c r="J475" s="149"/>
      <c r="K475" s="118"/>
      <c r="L475" s="117"/>
      <c r="M475" s="117"/>
      <c r="N475" s="117"/>
      <c r="O475" s="119"/>
    </row>
    <row r="476" spans="1:15" ht="12" customHeight="1">
      <c r="A476" s="344"/>
      <c r="B476" s="335"/>
      <c r="C476" s="64" t="s">
        <v>434</v>
      </c>
      <c r="D476" s="117"/>
      <c r="E476" s="117"/>
      <c r="F476" s="117">
        <v>28079</v>
      </c>
      <c r="G476" s="117"/>
      <c r="H476" s="117"/>
      <c r="I476" s="117"/>
      <c r="J476" s="149">
        <f>SUM(D476:H476)</f>
        <v>28079</v>
      </c>
      <c r="K476" s="118"/>
      <c r="L476" s="117"/>
      <c r="M476" s="117"/>
      <c r="N476" s="117">
        <f>SUM(J476:M476)</f>
        <v>28079</v>
      </c>
      <c r="O476" s="119"/>
    </row>
    <row r="477" spans="1:15" ht="12" customHeight="1">
      <c r="A477" s="344"/>
      <c r="B477" s="335"/>
      <c r="C477" s="64" t="s">
        <v>435</v>
      </c>
      <c r="D477" s="117"/>
      <c r="E477" s="117"/>
      <c r="F477" s="117">
        <v>25852</v>
      </c>
      <c r="G477" s="117"/>
      <c r="H477" s="117"/>
      <c r="I477" s="117"/>
      <c r="J477" s="149">
        <f>SUM(D477:H477)</f>
        <v>25852</v>
      </c>
      <c r="K477" s="118"/>
      <c r="L477" s="117"/>
      <c r="M477" s="117"/>
      <c r="N477" s="117">
        <f>SUM(J477:M477)</f>
        <v>25852</v>
      </c>
      <c r="O477" s="119"/>
    </row>
    <row r="478" spans="1:15" ht="12" customHeight="1">
      <c r="A478" s="344"/>
      <c r="B478" s="335"/>
      <c r="C478" s="64" t="s">
        <v>436</v>
      </c>
      <c r="D478" s="117"/>
      <c r="E478" s="117"/>
      <c r="F478" s="117">
        <f>16713+129+962</f>
        <v>17804</v>
      </c>
      <c r="G478" s="117"/>
      <c r="H478" s="117"/>
      <c r="I478" s="117"/>
      <c r="J478" s="149">
        <f>SUM(D478:H478)</f>
        <v>17804</v>
      </c>
      <c r="K478" s="118"/>
      <c r="L478" s="117"/>
      <c r="M478" s="117"/>
      <c r="N478" s="117">
        <f>SUM(J478:M478)</f>
        <v>17804</v>
      </c>
      <c r="O478" s="119"/>
    </row>
    <row r="479" spans="1:15" ht="12" customHeight="1">
      <c r="A479" s="344"/>
      <c r="B479" s="335" t="s">
        <v>113</v>
      </c>
      <c r="C479" s="71" t="s">
        <v>409</v>
      </c>
      <c r="D479" s="117"/>
      <c r="E479" s="117"/>
      <c r="F479" s="117"/>
      <c r="G479" s="117"/>
      <c r="H479" s="117"/>
      <c r="I479" s="117"/>
      <c r="J479" s="149"/>
      <c r="K479" s="118"/>
      <c r="L479" s="117"/>
      <c r="M479" s="117"/>
      <c r="N479" s="117"/>
      <c r="O479" s="119"/>
    </row>
    <row r="480" spans="1:15" ht="12" customHeight="1">
      <c r="A480" s="344"/>
      <c r="B480" s="335"/>
      <c r="C480" s="64" t="s">
        <v>434</v>
      </c>
      <c r="D480" s="117"/>
      <c r="E480" s="117"/>
      <c r="F480" s="117">
        <v>1440</v>
      </c>
      <c r="G480" s="117"/>
      <c r="H480" s="117"/>
      <c r="I480" s="117"/>
      <c r="J480" s="149">
        <f>SUM(D480:H480)</f>
        <v>1440</v>
      </c>
      <c r="K480" s="118"/>
      <c r="L480" s="117"/>
      <c r="M480" s="117"/>
      <c r="N480" s="117">
        <f>SUM(J480:M480)</f>
        <v>1440</v>
      </c>
      <c r="O480" s="119"/>
    </row>
    <row r="481" spans="1:15" ht="12" customHeight="1">
      <c r="A481" s="344"/>
      <c r="B481" s="335"/>
      <c r="C481" s="64" t="s">
        <v>435</v>
      </c>
      <c r="D481" s="117"/>
      <c r="E481" s="117"/>
      <c r="F481" s="117">
        <v>1470</v>
      </c>
      <c r="G481" s="117"/>
      <c r="H481" s="117"/>
      <c r="I481" s="117"/>
      <c r="J481" s="149">
        <f>SUM(D481:H481)</f>
        <v>1470</v>
      </c>
      <c r="K481" s="118"/>
      <c r="L481" s="117"/>
      <c r="M481" s="117"/>
      <c r="N481" s="117">
        <f>SUM(J481:M481)</f>
        <v>1470</v>
      </c>
      <c r="O481" s="119"/>
    </row>
    <row r="482" spans="1:15" ht="12" customHeight="1">
      <c r="A482" s="344"/>
      <c r="B482" s="335"/>
      <c r="C482" s="64" t="s">
        <v>436</v>
      </c>
      <c r="D482" s="117"/>
      <c r="E482" s="117"/>
      <c r="F482" s="117">
        <v>0</v>
      </c>
      <c r="G482" s="117"/>
      <c r="H482" s="117"/>
      <c r="I482" s="117"/>
      <c r="J482" s="149">
        <f>SUM(D482:H482)</f>
        <v>0</v>
      </c>
      <c r="K482" s="118"/>
      <c r="L482" s="117"/>
      <c r="M482" s="117"/>
      <c r="N482" s="117">
        <f>SUM(J482:M482)</f>
        <v>0</v>
      </c>
      <c r="O482" s="119"/>
    </row>
    <row r="483" spans="1:15" ht="12" customHeight="1">
      <c r="A483" s="344"/>
      <c r="B483" s="335" t="s">
        <v>115</v>
      </c>
      <c r="C483" s="71" t="s">
        <v>515</v>
      </c>
      <c r="D483" s="117"/>
      <c r="E483" s="117"/>
      <c r="F483" s="117"/>
      <c r="G483" s="117"/>
      <c r="H483" s="117"/>
      <c r="I483" s="117"/>
      <c r="J483" s="149"/>
      <c r="K483" s="118"/>
      <c r="L483" s="117"/>
      <c r="M483" s="117"/>
      <c r="N483" s="117"/>
      <c r="O483" s="119"/>
    </row>
    <row r="484" spans="1:15" ht="12" customHeight="1">
      <c r="A484" s="344"/>
      <c r="B484" s="335"/>
      <c r="C484" s="64" t="s">
        <v>434</v>
      </c>
      <c r="D484" s="117"/>
      <c r="E484" s="117"/>
      <c r="F484" s="117">
        <v>3000</v>
      </c>
      <c r="G484" s="117"/>
      <c r="H484" s="117"/>
      <c r="I484" s="117"/>
      <c r="J484" s="149">
        <f>SUM(D484:H484)</f>
        <v>3000</v>
      </c>
      <c r="K484" s="118"/>
      <c r="L484" s="117"/>
      <c r="M484" s="117"/>
      <c r="N484" s="117">
        <f>SUM(J484:M484)</f>
        <v>3000</v>
      </c>
      <c r="O484" s="119"/>
    </row>
    <row r="485" spans="1:15" ht="12" customHeight="1">
      <c r="A485" s="344"/>
      <c r="B485" s="335"/>
      <c r="C485" s="64" t="s">
        <v>435</v>
      </c>
      <c r="D485" s="117"/>
      <c r="E485" s="117"/>
      <c r="F485" s="117">
        <v>3063</v>
      </c>
      <c r="G485" s="117"/>
      <c r="H485" s="117"/>
      <c r="I485" s="117"/>
      <c r="J485" s="149">
        <f>SUM(D485:H485)</f>
        <v>3063</v>
      </c>
      <c r="K485" s="118"/>
      <c r="L485" s="117"/>
      <c r="M485" s="117"/>
      <c r="N485" s="117">
        <f>SUM(J485:M485)</f>
        <v>3063</v>
      </c>
      <c r="O485" s="119"/>
    </row>
    <row r="486" spans="1:15" ht="12" customHeight="1">
      <c r="A486" s="344"/>
      <c r="B486" s="335"/>
      <c r="C486" s="64" t="s">
        <v>436</v>
      </c>
      <c r="D486" s="117"/>
      <c r="E486" s="117"/>
      <c r="F486" s="117">
        <v>1707</v>
      </c>
      <c r="G486" s="117"/>
      <c r="H486" s="117"/>
      <c r="I486" s="117"/>
      <c r="J486" s="149">
        <f>SUM(D486:H486)</f>
        <v>1707</v>
      </c>
      <c r="K486" s="118"/>
      <c r="L486" s="117"/>
      <c r="M486" s="117"/>
      <c r="N486" s="117">
        <f>SUM(J486:M486)</f>
        <v>1707</v>
      </c>
      <c r="O486" s="119"/>
    </row>
    <row r="487" spans="1:15" ht="12" customHeight="1">
      <c r="A487" s="344"/>
      <c r="B487" s="335">
        <v>5</v>
      </c>
      <c r="C487" s="80" t="s">
        <v>516</v>
      </c>
      <c r="D487" s="117"/>
      <c r="E487" s="117"/>
      <c r="F487" s="117"/>
      <c r="G487" s="117"/>
      <c r="H487" s="117"/>
      <c r="I487" s="117"/>
      <c r="J487" s="149"/>
      <c r="K487" s="118"/>
      <c r="L487" s="117"/>
      <c r="M487" s="117"/>
      <c r="N487" s="117"/>
      <c r="O487" s="119"/>
    </row>
    <row r="488" spans="1:15" ht="12" customHeight="1">
      <c r="A488" s="344"/>
      <c r="B488" s="335"/>
      <c r="C488" s="64" t="s">
        <v>434</v>
      </c>
      <c r="D488" s="117"/>
      <c r="E488" s="117"/>
      <c r="F488" s="117"/>
      <c r="G488" s="117"/>
      <c r="H488" s="117">
        <v>1669</v>
      </c>
      <c r="I488" s="117"/>
      <c r="J488" s="149">
        <f>SUM(D488:I488)</f>
        <v>1669</v>
      </c>
      <c r="K488" s="118"/>
      <c r="L488" s="117"/>
      <c r="M488" s="117"/>
      <c r="N488" s="117">
        <v>0</v>
      </c>
      <c r="O488" s="119"/>
    </row>
    <row r="489" spans="1:15" ht="12" customHeight="1">
      <c r="A489" s="344"/>
      <c r="B489" s="335"/>
      <c r="C489" s="64" t="s">
        <v>435</v>
      </c>
      <c r="D489" s="117"/>
      <c r="E489" s="117"/>
      <c r="F489" s="117">
        <v>1669</v>
      </c>
      <c r="G489" s="117"/>
      <c r="H489" s="117"/>
      <c r="I489" s="117"/>
      <c r="J489" s="149">
        <v>1669</v>
      </c>
      <c r="K489" s="118"/>
      <c r="L489" s="117"/>
      <c r="M489" s="117"/>
      <c r="N489" s="117">
        <v>1669</v>
      </c>
      <c r="O489" s="119"/>
    </row>
    <row r="490" spans="1:15" ht="12" customHeight="1" thickBot="1">
      <c r="A490" s="378"/>
      <c r="B490" s="1105"/>
      <c r="C490" s="72" t="s">
        <v>436</v>
      </c>
      <c r="D490" s="150"/>
      <c r="E490" s="150"/>
      <c r="F490" s="150">
        <v>1159</v>
      </c>
      <c r="G490" s="150"/>
      <c r="H490" s="150"/>
      <c r="I490" s="150"/>
      <c r="J490" s="151">
        <f>F490</f>
        <v>1159</v>
      </c>
      <c r="K490" s="152"/>
      <c r="L490" s="150"/>
      <c r="M490" s="150"/>
      <c r="N490" s="150">
        <f>J490</f>
        <v>1159</v>
      </c>
      <c r="O490" s="153"/>
    </row>
    <row r="491" spans="1:15" ht="12.75" customHeight="1">
      <c r="A491" s="332">
        <v>29</v>
      </c>
      <c r="B491" s="1098"/>
      <c r="C491" s="69" t="s">
        <v>302</v>
      </c>
      <c r="D491" s="139"/>
      <c r="E491" s="139"/>
      <c r="F491" s="139"/>
      <c r="G491" s="139"/>
      <c r="H491" s="139"/>
      <c r="I491" s="139"/>
      <c r="J491" s="140"/>
      <c r="K491" s="141"/>
      <c r="L491" s="139"/>
      <c r="M491" s="139"/>
      <c r="N491" s="139"/>
      <c r="O491" s="142"/>
    </row>
    <row r="492" spans="1:15" ht="12.75" customHeight="1">
      <c r="A492" s="344"/>
      <c r="B492" s="116"/>
      <c r="C492" s="67" t="s">
        <v>434</v>
      </c>
      <c r="D492" s="130">
        <f aca="true" t="shared" si="42" ref="D492:I492">D496+D500+D504+D508+D512+D516+D520+D524+D528+D532+D536+D540+D544+D548+D552+D556+D560+D564+D568+D572+D576+D580+D584+D588</f>
        <v>0</v>
      </c>
      <c r="E492" s="130">
        <f t="shared" si="42"/>
        <v>0</v>
      </c>
      <c r="F492" s="130">
        <f t="shared" si="42"/>
        <v>43896</v>
      </c>
      <c r="G492" s="130">
        <f t="shared" si="42"/>
        <v>0</v>
      </c>
      <c r="H492" s="130">
        <f t="shared" si="42"/>
        <v>11486</v>
      </c>
      <c r="I492" s="130">
        <f t="shared" si="42"/>
        <v>0</v>
      </c>
      <c r="J492" s="131">
        <f>SUM(D492:I492)</f>
        <v>55382</v>
      </c>
      <c r="K492" s="130">
        <f>K496+K500+K504+K508+K512+K516+K520+K524+K528+K532+K536+K540+K544+K548+K552+K556+K560+K564+K568+K572+K576+K580+K584+K588</f>
        <v>0</v>
      </c>
      <c r="L492" s="130">
        <f>L496+L500+L504+L508+L512+L516+L520+L524+L528+L532+L536+L540+L544+L548+L552+L556+L560+L564+L568+L572+L576+L580+L584+L588</f>
        <v>978</v>
      </c>
      <c r="M492" s="130">
        <f>M496+M500+M504+M508+M512+M516+M520+M524+M528+M532+M536+M540+M544+M548+M552+M556+M560+M564+M568+M572+M576+M580+M584+M588</f>
        <v>0</v>
      </c>
      <c r="N492" s="130">
        <f>SUM(J492:M492)</f>
        <v>56360</v>
      </c>
      <c r="O492" s="119"/>
    </row>
    <row r="493" spans="1:15" ht="12.75" customHeight="1">
      <c r="A493" s="344"/>
      <c r="B493" s="116"/>
      <c r="C493" s="67" t="s">
        <v>435</v>
      </c>
      <c r="D493" s="130">
        <f aca="true" t="shared" si="43" ref="D493:I494">D497+D501+D505+D509+D513+D517+D521+D525+D529+D533+D537+D541+D545+D549+D553+D557+D561+D565+D569+D573+D577+D581+D585+D589</f>
        <v>0</v>
      </c>
      <c r="E493" s="130">
        <f t="shared" si="43"/>
        <v>42</v>
      </c>
      <c r="F493" s="130">
        <f t="shared" si="43"/>
        <v>53137</v>
      </c>
      <c r="G493" s="130">
        <f t="shared" si="43"/>
        <v>0</v>
      </c>
      <c r="H493" s="130">
        <f t="shared" si="43"/>
        <v>14773</v>
      </c>
      <c r="I493" s="130">
        <f t="shared" si="43"/>
        <v>0</v>
      </c>
      <c r="J493" s="131">
        <f>SUM(D493:I493)</f>
        <v>67952</v>
      </c>
      <c r="K493" s="130">
        <f aca="true" t="shared" si="44" ref="K493:M494">K497+K501+K505+K509+K513+K517+K521+K525+K529+K533+K537+K541+K545+K549+K553+K557+K561+K565+K569+K573+K577+K581+K585+K589</f>
        <v>770</v>
      </c>
      <c r="L493" s="130">
        <f t="shared" si="44"/>
        <v>978</v>
      </c>
      <c r="M493" s="130">
        <f t="shared" si="44"/>
        <v>0</v>
      </c>
      <c r="N493" s="130">
        <f>SUM(J493:M493)</f>
        <v>69700</v>
      </c>
      <c r="O493" s="119"/>
    </row>
    <row r="494" spans="1:15" ht="12.75" customHeight="1">
      <c r="A494" s="344"/>
      <c r="B494" s="116"/>
      <c r="C494" s="67" t="s">
        <v>436</v>
      </c>
      <c r="D494" s="130">
        <f t="shared" si="43"/>
        <v>0</v>
      </c>
      <c r="E494" s="130">
        <f t="shared" si="43"/>
        <v>42</v>
      </c>
      <c r="F494" s="130">
        <f t="shared" si="43"/>
        <v>47990</v>
      </c>
      <c r="G494" s="130">
        <f t="shared" si="43"/>
        <v>0</v>
      </c>
      <c r="H494" s="130">
        <f t="shared" si="43"/>
        <v>11585</v>
      </c>
      <c r="I494" s="130">
        <f t="shared" si="43"/>
        <v>0</v>
      </c>
      <c r="J494" s="131">
        <f>SUM(D494:I494)</f>
        <v>59617</v>
      </c>
      <c r="K494" s="130">
        <f t="shared" si="44"/>
        <v>744</v>
      </c>
      <c r="L494" s="130">
        <f t="shared" si="44"/>
        <v>0</v>
      </c>
      <c r="M494" s="130">
        <f t="shared" si="44"/>
        <v>0</v>
      </c>
      <c r="N494" s="130">
        <f>SUM(J494:M494)</f>
        <v>60361</v>
      </c>
      <c r="O494" s="119"/>
    </row>
    <row r="495" spans="1:15" ht="12" customHeight="1">
      <c r="A495" s="344"/>
      <c r="B495" s="335" t="s">
        <v>109</v>
      </c>
      <c r="C495" s="70" t="s">
        <v>410</v>
      </c>
      <c r="D495" s="117"/>
      <c r="E495" s="117"/>
      <c r="F495" s="117"/>
      <c r="G495" s="117"/>
      <c r="H495" s="117"/>
      <c r="I495" s="117"/>
      <c r="J495" s="149"/>
      <c r="K495" s="118"/>
      <c r="L495" s="117"/>
      <c r="M495" s="117"/>
      <c r="N495" s="117"/>
      <c r="O495" s="119"/>
    </row>
    <row r="496" spans="1:15" ht="12" customHeight="1">
      <c r="A496" s="344"/>
      <c r="B496" s="335"/>
      <c r="C496" s="64" t="s">
        <v>434</v>
      </c>
      <c r="D496" s="117"/>
      <c r="E496" s="117"/>
      <c r="F496" s="117"/>
      <c r="G496" s="117"/>
      <c r="H496" s="117">
        <v>450</v>
      </c>
      <c r="I496" s="117"/>
      <c r="J496" s="149">
        <f>SUM(D496:I496)</f>
        <v>450</v>
      </c>
      <c r="K496" s="118"/>
      <c r="L496" s="117"/>
      <c r="M496" s="117"/>
      <c r="N496" s="117">
        <f>SUM(J496:M496)</f>
        <v>450</v>
      </c>
      <c r="O496" s="119"/>
    </row>
    <row r="497" spans="1:15" ht="12" customHeight="1">
      <c r="A497" s="344"/>
      <c r="B497" s="335"/>
      <c r="C497" s="64" t="s">
        <v>435</v>
      </c>
      <c r="D497" s="117"/>
      <c r="E497" s="117"/>
      <c r="F497" s="117"/>
      <c r="G497" s="117"/>
      <c r="H497" s="117">
        <v>575</v>
      </c>
      <c r="I497" s="117"/>
      <c r="J497" s="149">
        <f>SUM(D497:I497)</f>
        <v>575</v>
      </c>
      <c r="K497" s="118"/>
      <c r="L497" s="117"/>
      <c r="M497" s="117"/>
      <c r="N497" s="117">
        <f>SUM(J497:M497)</f>
        <v>575</v>
      </c>
      <c r="O497" s="119"/>
    </row>
    <row r="498" spans="1:15" ht="12" customHeight="1">
      <c r="A498" s="344"/>
      <c r="B498" s="335"/>
      <c r="C498" s="64" t="s">
        <v>436</v>
      </c>
      <c r="D498" s="117"/>
      <c r="E498" s="117"/>
      <c r="F498" s="117"/>
      <c r="G498" s="117"/>
      <c r="H498" s="117">
        <v>500</v>
      </c>
      <c r="I498" s="117"/>
      <c r="J498" s="149">
        <f>SUM(D498:I498)</f>
        <v>500</v>
      </c>
      <c r="K498" s="118"/>
      <c r="L498" s="117"/>
      <c r="M498" s="117"/>
      <c r="N498" s="117">
        <f>SUM(J498:M498)</f>
        <v>500</v>
      </c>
      <c r="O498" s="119"/>
    </row>
    <row r="499" spans="1:15" ht="12" customHeight="1">
      <c r="A499" s="344"/>
      <c r="B499" s="335" t="s">
        <v>111</v>
      </c>
      <c r="C499" s="76" t="s">
        <v>411</v>
      </c>
      <c r="D499" s="117"/>
      <c r="E499" s="117"/>
      <c r="F499" s="117"/>
      <c r="G499" s="117"/>
      <c r="H499" s="117"/>
      <c r="I499" s="117"/>
      <c r="J499" s="149"/>
      <c r="K499" s="118"/>
      <c r="L499" s="117"/>
      <c r="M499" s="117"/>
      <c r="N499" s="117"/>
      <c r="O499" s="119"/>
    </row>
    <row r="500" spans="1:15" ht="12" customHeight="1">
      <c r="A500" s="344"/>
      <c r="B500" s="335"/>
      <c r="C500" s="64" t="s">
        <v>434</v>
      </c>
      <c r="D500" s="117"/>
      <c r="E500" s="117"/>
      <c r="F500" s="117">
        <v>1200</v>
      </c>
      <c r="G500" s="117"/>
      <c r="H500" s="117"/>
      <c r="I500" s="117"/>
      <c r="J500" s="149">
        <f>SUM(D500:I500)</f>
        <v>1200</v>
      </c>
      <c r="K500" s="118"/>
      <c r="L500" s="117"/>
      <c r="M500" s="117"/>
      <c r="N500" s="117">
        <f>SUM(J500:M500)</f>
        <v>1200</v>
      </c>
      <c r="O500" s="119"/>
    </row>
    <row r="501" spans="1:15" ht="12" customHeight="1">
      <c r="A501" s="344"/>
      <c r="B501" s="335"/>
      <c r="C501" s="64" t="s">
        <v>435</v>
      </c>
      <c r="D501" s="117"/>
      <c r="E501" s="117"/>
      <c r="F501" s="117">
        <v>1225</v>
      </c>
      <c r="G501" s="117"/>
      <c r="H501" s="117"/>
      <c r="I501" s="117"/>
      <c r="J501" s="149">
        <f>SUM(D501:I501)</f>
        <v>1225</v>
      </c>
      <c r="K501" s="118"/>
      <c r="L501" s="117"/>
      <c r="M501" s="117"/>
      <c r="N501" s="117">
        <f>SUM(J501:M501)</f>
        <v>1225</v>
      </c>
      <c r="O501" s="119"/>
    </row>
    <row r="502" spans="1:15" ht="12" customHeight="1">
      <c r="A502" s="344"/>
      <c r="B502" s="335"/>
      <c r="C502" s="64" t="s">
        <v>436</v>
      </c>
      <c r="D502" s="117"/>
      <c r="E502" s="117"/>
      <c r="F502" s="117">
        <v>1200</v>
      </c>
      <c r="G502" s="117"/>
      <c r="H502" s="117"/>
      <c r="I502" s="117"/>
      <c r="J502" s="149">
        <f>SUM(D502:I502)</f>
        <v>1200</v>
      </c>
      <c r="K502" s="118"/>
      <c r="L502" s="117"/>
      <c r="M502" s="117"/>
      <c r="N502" s="117">
        <f>SUM(J502:M502)</f>
        <v>1200</v>
      </c>
      <c r="O502" s="119"/>
    </row>
    <row r="503" spans="1:15" ht="12" customHeight="1">
      <c r="A503" s="344"/>
      <c r="B503" s="335" t="s">
        <v>113</v>
      </c>
      <c r="C503" s="70" t="s">
        <v>412</v>
      </c>
      <c r="D503" s="117"/>
      <c r="E503" s="117"/>
      <c r="F503" s="117"/>
      <c r="G503" s="117"/>
      <c r="H503" s="117"/>
      <c r="I503" s="117"/>
      <c r="J503" s="149"/>
      <c r="K503" s="118"/>
      <c r="L503" s="117"/>
      <c r="M503" s="117"/>
      <c r="N503" s="117"/>
      <c r="O503" s="119"/>
    </row>
    <row r="504" spans="1:15" ht="12" customHeight="1">
      <c r="A504" s="344"/>
      <c r="B504" s="335"/>
      <c r="C504" s="64" t="s">
        <v>434</v>
      </c>
      <c r="D504" s="117"/>
      <c r="E504" s="117"/>
      <c r="F504" s="117">
        <v>3500</v>
      </c>
      <c r="G504" s="117"/>
      <c r="H504" s="117"/>
      <c r="I504" s="117"/>
      <c r="J504" s="149">
        <f>SUM(D504:I504)</f>
        <v>3500</v>
      </c>
      <c r="K504" s="118"/>
      <c r="L504" s="117"/>
      <c r="M504" s="117"/>
      <c r="N504" s="117">
        <f>SUM(J504:M504)</f>
        <v>3500</v>
      </c>
      <c r="O504" s="119"/>
    </row>
    <row r="505" spans="1:15" ht="12" customHeight="1">
      <c r="A505" s="344"/>
      <c r="B505" s="335"/>
      <c r="C505" s="64" t="s">
        <v>435</v>
      </c>
      <c r="D505" s="117"/>
      <c r="E505" s="117"/>
      <c r="F505" s="117">
        <v>3525</v>
      </c>
      <c r="G505" s="117"/>
      <c r="H505" s="117"/>
      <c r="I505" s="117"/>
      <c r="J505" s="149">
        <f>SUM(D505:I505)</f>
        <v>3525</v>
      </c>
      <c r="K505" s="118"/>
      <c r="L505" s="117"/>
      <c r="M505" s="117"/>
      <c r="N505" s="117">
        <f>SUM(J505:M505)</f>
        <v>3525</v>
      </c>
      <c r="O505" s="119"/>
    </row>
    <row r="506" spans="1:15" ht="12" customHeight="1">
      <c r="A506" s="344"/>
      <c r="B506" s="335"/>
      <c r="C506" s="64" t="s">
        <v>436</v>
      </c>
      <c r="D506" s="117"/>
      <c r="E506" s="117"/>
      <c r="F506" s="117">
        <v>3447</v>
      </c>
      <c r="G506" s="117"/>
      <c r="H506" s="117"/>
      <c r="I506" s="117"/>
      <c r="J506" s="149">
        <f>SUM(D506:I506)</f>
        <v>3447</v>
      </c>
      <c r="K506" s="118"/>
      <c r="L506" s="117"/>
      <c r="M506" s="117"/>
      <c r="N506" s="117">
        <f>SUM(J506:M506)</f>
        <v>3447</v>
      </c>
      <c r="O506" s="119"/>
    </row>
    <row r="507" spans="1:15" ht="12" customHeight="1">
      <c r="A507" s="344"/>
      <c r="B507" s="335" t="s">
        <v>115</v>
      </c>
      <c r="C507" s="75" t="s">
        <v>517</v>
      </c>
      <c r="D507" s="117"/>
      <c r="E507" s="117"/>
      <c r="F507" s="117"/>
      <c r="G507" s="117"/>
      <c r="H507" s="117"/>
      <c r="I507" s="130"/>
      <c r="J507" s="149"/>
      <c r="K507" s="118"/>
      <c r="L507" s="117"/>
      <c r="M507" s="117"/>
      <c r="N507" s="117"/>
      <c r="O507" s="119"/>
    </row>
    <row r="508" spans="1:15" ht="12" customHeight="1">
      <c r="A508" s="344"/>
      <c r="B508" s="335"/>
      <c r="C508" s="64" t="s">
        <v>434</v>
      </c>
      <c r="D508" s="117"/>
      <c r="E508" s="117"/>
      <c r="F508" s="117"/>
      <c r="G508" s="117"/>
      <c r="H508" s="117">
        <v>2350</v>
      </c>
      <c r="I508" s="130"/>
      <c r="J508" s="149">
        <f>SUM(D508:I508)</f>
        <v>2350</v>
      </c>
      <c r="K508" s="118"/>
      <c r="L508" s="117"/>
      <c r="M508" s="117"/>
      <c r="N508" s="117">
        <f>SUM(J508:M508)</f>
        <v>2350</v>
      </c>
      <c r="O508" s="119"/>
    </row>
    <row r="509" spans="1:15" ht="12" customHeight="1">
      <c r="A509" s="344"/>
      <c r="B509" s="335"/>
      <c r="C509" s="64" t="s">
        <v>435</v>
      </c>
      <c r="D509" s="117"/>
      <c r="E509" s="117"/>
      <c r="F509" s="117"/>
      <c r="G509" s="117"/>
      <c r="H509" s="117">
        <v>2350</v>
      </c>
      <c r="I509" s="130"/>
      <c r="J509" s="149">
        <f>SUM(D509:I509)</f>
        <v>2350</v>
      </c>
      <c r="K509" s="118"/>
      <c r="L509" s="117"/>
      <c r="M509" s="117"/>
      <c r="N509" s="117">
        <f>SUM(J509:M509)</f>
        <v>2350</v>
      </c>
      <c r="O509" s="119"/>
    </row>
    <row r="510" spans="1:15" ht="12" customHeight="1">
      <c r="A510" s="344"/>
      <c r="B510" s="335"/>
      <c r="C510" s="64" t="s">
        <v>436</v>
      </c>
      <c r="D510" s="117"/>
      <c r="E510" s="117"/>
      <c r="F510" s="117"/>
      <c r="G510" s="117"/>
      <c r="H510" s="117">
        <v>2350</v>
      </c>
      <c r="I510" s="130"/>
      <c r="J510" s="149">
        <f>SUM(D510:I510)</f>
        <v>2350</v>
      </c>
      <c r="K510" s="118"/>
      <c r="L510" s="117"/>
      <c r="M510" s="117"/>
      <c r="N510" s="117">
        <f>SUM(J510:M510)</f>
        <v>2350</v>
      </c>
      <c r="O510" s="119"/>
    </row>
    <row r="511" spans="1:15" ht="12" customHeight="1">
      <c r="A511" s="344"/>
      <c r="B511" s="335" t="s">
        <v>117</v>
      </c>
      <c r="C511" s="76" t="s">
        <v>413</v>
      </c>
      <c r="D511" s="117"/>
      <c r="E511" s="117"/>
      <c r="F511" s="117"/>
      <c r="G511" s="117"/>
      <c r="H511" s="117"/>
      <c r="I511" s="117"/>
      <c r="J511" s="149"/>
      <c r="K511" s="118"/>
      <c r="L511" s="117"/>
      <c r="M511" s="117"/>
      <c r="N511" s="117"/>
      <c r="O511" s="119"/>
    </row>
    <row r="512" spans="1:15" ht="12" customHeight="1">
      <c r="A512" s="344"/>
      <c r="B512" s="335"/>
      <c r="C512" s="64" t="s">
        <v>434</v>
      </c>
      <c r="D512" s="117"/>
      <c r="E512" s="117"/>
      <c r="F512" s="117"/>
      <c r="G512" s="117"/>
      <c r="H512" s="117">
        <v>1700</v>
      </c>
      <c r="I512" s="117"/>
      <c r="J512" s="149">
        <f>SUM(D512:I512)</f>
        <v>1700</v>
      </c>
      <c r="K512" s="118"/>
      <c r="L512" s="117"/>
      <c r="M512" s="117"/>
      <c r="N512" s="117">
        <f>SUM(J512:M512)</f>
        <v>1700</v>
      </c>
      <c r="O512" s="119"/>
    </row>
    <row r="513" spans="1:15" ht="12" customHeight="1">
      <c r="A513" s="344"/>
      <c r="B513" s="335"/>
      <c r="C513" s="64" t="s">
        <v>435</v>
      </c>
      <c r="D513" s="117"/>
      <c r="E513" s="117"/>
      <c r="F513" s="117"/>
      <c r="G513" s="117"/>
      <c r="H513" s="117">
        <v>1700</v>
      </c>
      <c r="I513" s="117"/>
      <c r="J513" s="149">
        <f>SUM(D513:I513)</f>
        <v>1700</v>
      </c>
      <c r="K513" s="118"/>
      <c r="L513" s="117"/>
      <c r="M513" s="117"/>
      <c r="N513" s="117">
        <f>SUM(J513:M513)</f>
        <v>1700</v>
      </c>
      <c r="O513" s="119"/>
    </row>
    <row r="514" spans="1:15" ht="12" customHeight="1">
      <c r="A514" s="344"/>
      <c r="B514" s="335"/>
      <c r="C514" s="64" t="s">
        <v>436</v>
      </c>
      <c r="D514" s="117"/>
      <c r="E514" s="117"/>
      <c r="F514" s="117"/>
      <c r="G514" s="117"/>
      <c r="H514" s="117">
        <v>1700</v>
      </c>
      <c r="I514" s="117"/>
      <c r="J514" s="149">
        <f>SUM(D514:I514)</f>
        <v>1700</v>
      </c>
      <c r="K514" s="118"/>
      <c r="L514" s="117"/>
      <c r="M514" s="117"/>
      <c r="N514" s="117">
        <f>SUM(J514:M514)</f>
        <v>1700</v>
      </c>
      <c r="O514" s="119"/>
    </row>
    <row r="515" spans="1:15" ht="12" customHeight="1">
      <c r="A515" s="344"/>
      <c r="B515" s="335" t="s">
        <v>119</v>
      </c>
      <c r="C515" s="76" t="s">
        <v>414</v>
      </c>
      <c r="D515" s="117"/>
      <c r="E515" s="117"/>
      <c r="F515" s="117"/>
      <c r="G515" s="117"/>
      <c r="H515" s="117"/>
      <c r="I515" s="117"/>
      <c r="J515" s="149"/>
      <c r="K515" s="118"/>
      <c r="L515" s="117"/>
      <c r="M515" s="117"/>
      <c r="N515" s="117"/>
      <c r="O515" s="119"/>
    </row>
    <row r="516" spans="1:15" ht="12" customHeight="1">
      <c r="A516" s="344"/>
      <c r="B516" s="335"/>
      <c r="C516" s="64" t="s">
        <v>434</v>
      </c>
      <c r="D516" s="117"/>
      <c r="E516" s="117"/>
      <c r="F516" s="117"/>
      <c r="G516" s="117"/>
      <c r="H516" s="117">
        <v>250</v>
      </c>
      <c r="I516" s="117"/>
      <c r="J516" s="149">
        <f>SUM(D516:I516)</f>
        <v>250</v>
      </c>
      <c r="K516" s="118"/>
      <c r="L516" s="117"/>
      <c r="M516" s="117"/>
      <c r="N516" s="117">
        <f>SUM(J516:M516)</f>
        <v>250</v>
      </c>
      <c r="O516" s="119"/>
    </row>
    <row r="517" spans="1:15" ht="12" customHeight="1">
      <c r="A517" s="344"/>
      <c r="B517" s="335"/>
      <c r="C517" s="64" t="s">
        <v>435</v>
      </c>
      <c r="D517" s="117"/>
      <c r="E517" s="117"/>
      <c r="F517" s="117"/>
      <c r="G517" s="117"/>
      <c r="H517" s="117">
        <v>250</v>
      </c>
      <c r="I517" s="117"/>
      <c r="J517" s="149">
        <f>SUM(D517:I517)</f>
        <v>250</v>
      </c>
      <c r="K517" s="118"/>
      <c r="L517" s="117"/>
      <c r="M517" s="117"/>
      <c r="N517" s="117">
        <f>SUM(J517:M517)</f>
        <v>250</v>
      </c>
      <c r="O517" s="119"/>
    </row>
    <row r="518" spans="1:15" ht="12" customHeight="1">
      <c r="A518" s="344"/>
      <c r="B518" s="335"/>
      <c r="C518" s="64" t="s">
        <v>436</v>
      </c>
      <c r="D518" s="117"/>
      <c r="E518" s="117"/>
      <c r="F518" s="117"/>
      <c r="G518" s="117"/>
      <c r="H518" s="117">
        <v>250</v>
      </c>
      <c r="I518" s="117"/>
      <c r="J518" s="149">
        <f>SUM(D518:I518)</f>
        <v>250</v>
      </c>
      <c r="K518" s="118"/>
      <c r="L518" s="117"/>
      <c r="M518" s="117"/>
      <c r="N518" s="117">
        <f>SUM(J518:M518)</f>
        <v>250</v>
      </c>
      <c r="O518" s="119"/>
    </row>
    <row r="519" spans="1:15" ht="12" customHeight="1">
      <c r="A519" s="344"/>
      <c r="B519" s="335" t="s">
        <v>121</v>
      </c>
      <c r="C519" s="76" t="s">
        <v>415</v>
      </c>
      <c r="D519" s="117"/>
      <c r="E519" s="117"/>
      <c r="F519" s="117"/>
      <c r="G519" s="117"/>
      <c r="H519" s="117"/>
      <c r="I519" s="117"/>
      <c r="J519" s="149"/>
      <c r="K519" s="118"/>
      <c r="L519" s="117"/>
      <c r="M519" s="117"/>
      <c r="N519" s="117"/>
      <c r="O519" s="119"/>
    </row>
    <row r="520" spans="1:15" ht="12" customHeight="1">
      <c r="A520" s="344"/>
      <c r="B520" s="335"/>
      <c r="C520" s="64" t="s">
        <v>434</v>
      </c>
      <c r="D520" s="117"/>
      <c r="E520" s="117"/>
      <c r="F520" s="117"/>
      <c r="G520" s="117"/>
      <c r="H520" s="117">
        <v>400</v>
      </c>
      <c r="I520" s="117"/>
      <c r="J520" s="149">
        <f>SUM(D520:I520)</f>
        <v>400</v>
      </c>
      <c r="K520" s="118"/>
      <c r="L520" s="117"/>
      <c r="M520" s="117"/>
      <c r="N520" s="117">
        <f>SUM(J520:M520)</f>
        <v>400</v>
      </c>
      <c r="O520" s="119"/>
    </row>
    <row r="521" spans="1:15" ht="12" customHeight="1">
      <c r="A521" s="344"/>
      <c r="B521" s="335"/>
      <c r="C521" s="64" t="s">
        <v>435</v>
      </c>
      <c r="D521" s="117"/>
      <c r="E521" s="117"/>
      <c r="F521" s="117"/>
      <c r="G521" s="117"/>
      <c r="H521" s="117">
        <v>400</v>
      </c>
      <c r="I521" s="117"/>
      <c r="J521" s="149">
        <f>SUM(D521:I521)</f>
        <v>400</v>
      </c>
      <c r="K521" s="118"/>
      <c r="L521" s="117"/>
      <c r="M521" s="117"/>
      <c r="N521" s="117">
        <f>SUM(J521:M521)</f>
        <v>400</v>
      </c>
      <c r="O521" s="119"/>
    </row>
    <row r="522" spans="1:15" ht="12" customHeight="1">
      <c r="A522" s="344"/>
      <c r="B522" s="335"/>
      <c r="C522" s="64" t="s">
        <v>436</v>
      </c>
      <c r="D522" s="117"/>
      <c r="E522" s="117"/>
      <c r="F522" s="117"/>
      <c r="G522" s="117"/>
      <c r="H522" s="117">
        <v>400</v>
      </c>
      <c r="I522" s="117"/>
      <c r="J522" s="149">
        <f>SUM(D522:I522)</f>
        <v>400</v>
      </c>
      <c r="K522" s="118"/>
      <c r="L522" s="117"/>
      <c r="M522" s="117"/>
      <c r="N522" s="117">
        <f>SUM(J522:M522)</f>
        <v>400</v>
      </c>
      <c r="O522" s="119"/>
    </row>
    <row r="523" spans="1:15" ht="12" customHeight="1">
      <c r="A523" s="344"/>
      <c r="B523" s="335" t="s">
        <v>122</v>
      </c>
      <c r="C523" s="65" t="s">
        <v>416</v>
      </c>
      <c r="D523" s="117"/>
      <c r="E523" s="117"/>
      <c r="F523" s="117"/>
      <c r="G523" s="117"/>
      <c r="H523" s="117"/>
      <c r="I523" s="117"/>
      <c r="J523" s="149"/>
      <c r="K523" s="118"/>
      <c r="L523" s="117"/>
      <c r="M523" s="117"/>
      <c r="N523" s="117"/>
      <c r="O523" s="119"/>
    </row>
    <row r="524" spans="1:15" ht="12" customHeight="1">
      <c r="A524" s="344"/>
      <c r="B524" s="335"/>
      <c r="C524" s="64" t="s">
        <v>434</v>
      </c>
      <c r="D524" s="117"/>
      <c r="E524" s="117"/>
      <c r="F524" s="117"/>
      <c r="G524" s="117"/>
      <c r="H524" s="117">
        <v>400</v>
      </c>
      <c r="I524" s="117"/>
      <c r="J524" s="149">
        <f>SUM(D524:I524)</f>
        <v>400</v>
      </c>
      <c r="K524" s="118"/>
      <c r="L524" s="117"/>
      <c r="M524" s="117"/>
      <c r="N524" s="117">
        <f>SUM(J524:M524)</f>
        <v>400</v>
      </c>
      <c r="O524" s="119"/>
    </row>
    <row r="525" spans="1:15" ht="12" customHeight="1">
      <c r="A525" s="344"/>
      <c r="B525" s="335"/>
      <c r="C525" s="64" t="s">
        <v>435</v>
      </c>
      <c r="D525" s="117"/>
      <c r="E525" s="117"/>
      <c r="F525" s="117"/>
      <c r="G525" s="117"/>
      <c r="H525" s="117">
        <v>400</v>
      </c>
      <c r="I525" s="117"/>
      <c r="J525" s="149">
        <f>SUM(D525:I525)</f>
        <v>400</v>
      </c>
      <c r="K525" s="118"/>
      <c r="L525" s="117"/>
      <c r="M525" s="117"/>
      <c r="N525" s="117">
        <f>SUM(J525:M525)</f>
        <v>400</v>
      </c>
      <c r="O525" s="119"/>
    </row>
    <row r="526" spans="1:15" ht="12" customHeight="1">
      <c r="A526" s="344"/>
      <c r="B526" s="335"/>
      <c r="C526" s="64" t="s">
        <v>436</v>
      </c>
      <c r="D526" s="117"/>
      <c r="E526" s="117"/>
      <c r="F526" s="117"/>
      <c r="G526" s="117"/>
      <c r="H526" s="117">
        <v>400</v>
      </c>
      <c r="I526" s="117"/>
      <c r="J526" s="149">
        <f>SUM(D526:I526)</f>
        <v>400</v>
      </c>
      <c r="K526" s="118"/>
      <c r="L526" s="117"/>
      <c r="M526" s="117"/>
      <c r="N526" s="117">
        <f>SUM(J526:M526)</f>
        <v>400</v>
      </c>
      <c r="O526" s="119"/>
    </row>
    <row r="527" spans="1:15" ht="12" customHeight="1">
      <c r="A527" s="344"/>
      <c r="B527" s="335" t="s">
        <v>124</v>
      </c>
      <c r="C527" s="76" t="s">
        <v>417</v>
      </c>
      <c r="D527" s="117"/>
      <c r="E527" s="117"/>
      <c r="F527" s="117"/>
      <c r="G527" s="117"/>
      <c r="H527" s="117"/>
      <c r="I527" s="117"/>
      <c r="J527" s="149"/>
      <c r="K527" s="118"/>
      <c r="L527" s="117"/>
      <c r="M527" s="117"/>
      <c r="N527" s="117"/>
      <c r="O527" s="119"/>
    </row>
    <row r="528" spans="1:15" ht="12" customHeight="1">
      <c r="A528" s="344"/>
      <c r="B528" s="335"/>
      <c r="C528" s="64" t="s">
        <v>434</v>
      </c>
      <c r="D528" s="117"/>
      <c r="E528" s="117"/>
      <c r="F528" s="117">
        <v>6000</v>
      </c>
      <c r="G528" s="117"/>
      <c r="H528" s="117"/>
      <c r="I528" s="117"/>
      <c r="J528" s="149">
        <f>SUM(D528:I528)</f>
        <v>6000</v>
      </c>
      <c r="K528" s="118"/>
      <c r="L528" s="117"/>
      <c r="M528" s="117"/>
      <c r="N528" s="117">
        <f>SUM(J528:M528)</f>
        <v>6000</v>
      </c>
      <c r="O528" s="119"/>
    </row>
    <row r="529" spans="1:15" ht="12" customHeight="1">
      <c r="A529" s="344"/>
      <c r="B529" s="335"/>
      <c r="C529" s="64" t="s">
        <v>435</v>
      </c>
      <c r="D529" s="117"/>
      <c r="E529" s="117"/>
      <c r="F529" s="117">
        <v>11726</v>
      </c>
      <c r="G529" s="117"/>
      <c r="H529" s="117">
        <v>3077</v>
      </c>
      <c r="I529" s="117"/>
      <c r="J529" s="149">
        <f>SUM(D529:I529)</f>
        <v>14803</v>
      </c>
      <c r="K529" s="118"/>
      <c r="L529" s="117"/>
      <c r="M529" s="117"/>
      <c r="N529" s="117">
        <f>SUM(J529:M529)</f>
        <v>14803</v>
      </c>
      <c r="O529" s="119"/>
    </row>
    <row r="530" spans="1:15" ht="12" customHeight="1">
      <c r="A530" s="344"/>
      <c r="B530" s="335"/>
      <c r="C530" s="64" t="s">
        <v>436</v>
      </c>
      <c r="D530" s="117"/>
      <c r="E530" s="117"/>
      <c r="F530" s="117">
        <f>35+4433+5613+289</f>
        <v>10370</v>
      </c>
      <c r="G530" s="117"/>
      <c r="H530" s="117">
        <v>0</v>
      </c>
      <c r="I530" s="117"/>
      <c r="J530" s="149">
        <f>SUM(D530:I530)</f>
        <v>10370</v>
      </c>
      <c r="K530" s="118"/>
      <c r="L530" s="117"/>
      <c r="M530" s="117"/>
      <c r="N530" s="117">
        <f>SUM(J530:M530)</f>
        <v>10370</v>
      </c>
      <c r="O530" s="119"/>
    </row>
    <row r="531" spans="1:15" ht="12" customHeight="1">
      <c r="A531" s="344"/>
      <c r="B531" s="335" t="s">
        <v>126</v>
      </c>
      <c r="C531" s="70" t="s">
        <v>418</v>
      </c>
      <c r="D531" s="117"/>
      <c r="E531" s="117"/>
      <c r="F531" s="117"/>
      <c r="G531" s="117"/>
      <c r="H531" s="117"/>
      <c r="I531" s="117"/>
      <c r="J531" s="149"/>
      <c r="K531" s="118"/>
      <c r="L531" s="117"/>
      <c r="M531" s="117"/>
      <c r="N531" s="117"/>
      <c r="O531" s="119"/>
    </row>
    <row r="532" spans="1:15" ht="12" customHeight="1">
      <c r="A532" s="344"/>
      <c r="B532" s="335"/>
      <c r="C532" s="64" t="s">
        <v>434</v>
      </c>
      <c r="D532" s="117"/>
      <c r="E532" s="117"/>
      <c r="F532" s="117">
        <v>2475</v>
      </c>
      <c r="G532" s="117"/>
      <c r="H532" s="117"/>
      <c r="I532" s="117"/>
      <c r="J532" s="149">
        <f>SUM(D532:I532)</f>
        <v>2475</v>
      </c>
      <c r="K532" s="118"/>
      <c r="L532" s="117"/>
      <c r="M532" s="117"/>
      <c r="N532" s="117">
        <f>SUM(J532:M532)</f>
        <v>2475</v>
      </c>
      <c r="O532" s="119"/>
    </row>
    <row r="533" spans="1:15" ht="12" customHeight="1">
      <c r="A533" s="344"/>
      <c r="B533" s="335"/>
      <c r="C533" s="64" t="s">
        <v>435</v>
      </c>
      <c r="D533" s="117"/>
      <c r="E533" s="117"/>
      <c r="F533" s="117">
        <v>3317</v>
      </c>
      <c r="G533" s="117"/>
      <c r="H533" s="117">
        <v>375</v>
      </c>
      <c r="I533" s="117"/>
      <c r="J533" s="149">
        <f>SUM(D533:I533)</f>
        <v>3692</v>
      </c>
      <c r="K533" s="118"/>
      <c r="L533" s="117"/>
      <c r="M533" s="117"/>
      <c r="N533" s="117">
        <f>SUM(J533:M533)</f>
        <v>3692</v>
      </c>
      <c r="O533" s="119"/>
    </row>
    <row r="534" spans="1:15" ht="12" customHeight="1">
      <c r="A534" s="344"/>
      <c r="B534" s="335"/>
      <c r="C534" s="64" t="s">
        <v>436</v>
      </c>
      <c r="D534" s="117"/>
      <c r="E534" s="117"/>
      <c r="F534" s="117">
        <f>43+1689+1048+117</f>
        <v>2897</v>
      </c>
      <c r="G534" s="117"/>
      <c r="H534" s="117">
        <v>375</v>
      </c>
      <c r="I534" s="117"/>
      <c r="J534" s="149">
        <f>SUM(D534:I534)</f>
        <v>3272</v>
      </c>
      <c r="K534" s="118"/>
      <c r="L534" s="117"/>
      <c r="M534" s="117"/>
      <c r="N534" s="117">
        <f>SUM(J534:M534)</f>
        <v>3272</v>
      </c>
      <c r="O534" s="119"/>
    </row>
    <row r="535" spans="1:15" ht="12" customHeight="1">
      <c r="A535" s="344"/>
      <c r="B535" s="335" t="s">
        <v>127</v>
      </c>
      <c r="C535" s="65" t="s">
        <v>419</v>
      </c>
      <c r="D535" s="117"/>
      <c r="E535" s="117"/>
      <c r="F535" s="117"/>
      <c r="G535" s="117"/>
      <c r="H535" s="117"/>
      <c r="I535" s="117"/>
      <c r="J535" s="149"/>
      <c r="K535" s="118"/>
      <c r="L535" s="117"/>
      <c r="M535" s="117"/>
      <c r="N535" s="117"/>
      <c r="O535" s="119"/>
    </row>
    <row r="536" spans="1:15" ht="12" customHeight="1">
      <c r="A536" s="344"/>
      <c r="B536" s="335"/>
      <c r="C536" s="64" t="s">
        <v>434</v>
      </c>
      <c r="D536" s="117"/>
      <c r="E536" s="117"/>
      <c r="F536" s="117">
        <v>1200</v>
      </c>
      <c r="G536" s="117"/>
      <c r="H536" s="117"/>
      <c r="I536" s="117"/>
      <c r="J536" s="149">
        <f>SUM(D536:I536)</f>
        <v>1200</v>
      </c>
      <c r="K536" s="118"/>
      <c r="L536" s="117"/>
      <c r="M536" s="117"/>
      <c r="N536" s="117">
        <f>SUM(J536:M536)</f>
        <v>1200</v>
      </c>
      <c r="O536" s="119"/>
    </row>
    <row r="537" spans="1:15" ht="12" customHeight="1">
      <c r="A537" s="344"/>
      <c r="B537" s="335"/>
      <c r="C537" s="64" t="s">
        <v>435</v>
      </c>
      <c r="D537" s="117"/>
      <c r="E537" s="117">
        <v>42</v>
      </c>
      <c r="F537" s="117">
        <v>1172</v>
      </c>
      <c r="G537" s="117"/>
      <c r="H537" s="117"/>
      <c r="I537" s="117"/>
      <c r="J537" s="149">
        <f>SUM(D537:I537)</f>
        <v>1214</v>
      </c>
      <c r="K537" s="118"/>
      <c r="L537" s="117"/>
      <c r="M537" s="117"/>
      <c r="N537" s="117">
        <f>SUM(J537:M537)</f>
        <v>1214</v>
      </c>
      <c r="O537" s="119"/>
    </row>
    <row r="538" spans="1:15" ht="12" customHeight="1">
      <c r="A538" s="344"/>
      <c r="B538" s="335"/>
      <c r="C538" s="64" t="s">
        <v>436</v>
      </c>
      <c r="D538" s="117"/>
      <c r="E538" s="117">
        <f>42</f>
        <v>42</v>
      </c>
      <c r="F538" s="117">
        <f>21+318+266+254</f>
        <v>859</v>
      </c>
      <c r="G538" s="117"/>
      <c r="H538" s="117"/>
      <c r="I538" s="117"/>
      <c r="J538" s="149">
        <f>SUM(D538:I538)</f>
        <v>901</v>
      </c>
      <c r="K538" s="118"/>
      <c r="L538" s="117"/>
      <c r="M538" s="117"/>
      <c r="N538" s="117">
        <f>SUM(J538:M538)</f>
        <v>901</v>
      </c>
      <c r="O538" s="119"/>
    </row>
    <row r="539" spans="1:15" ht="13.5" customHeight="1">
      <c r="A539" s="344"/>
      <c r="B539" s="335" t="s">
        <v>192</v>
      </c>
      <c r="C539" s="1299" t="s">
        <v>642</v>
      </c>
      <c r="D539" s="1300"/>
      <c r="E539" s="1300"/>
      <c r="F539" s="1301"/>
      <c r="G539" s="117"/>
      <c r="H539" s="117"/>
      <c r="I539" s="117"/>
      <c r="J539" s="149"/>
      <c r="K539" s="118"/>
      <c r="L539" s="117"/>
      <c r="M539" s="117"/>
      <c r="N539" s="117"/>
      <c r="O539" s="119"/>
    </row>
    <row r="540" spans="1:15" ht="12" customHeight="1">
      <c r="A540" s="344"/>
      <c r="B540" s="335"/>
      <c r="C540" s="64" t="s">
        <v>434</v>
      </c>
      <c r="D540" s="117"/>
      <c r="E540" s="117"/>
      <c r="F540" s="117"/>
      <c r="G540" s="117"/>
      <c r="H540" s="117">
        <v>600</v>
      </c>
      <c r="I540" s="117"/>
      <c r="J540" s="149">
        <f>SUM(D540:I540)</f>
        <v>600</v>
      </c>
      <c r="K540" s="118"/>
      <c r="L540" s="117"/>
      <c r="M540" s="117"/>
      <c r="N540" s="117">
        <f>SUM(J540:M540)</f>
        <v>600</v>
      </c>
      <c r="O540" s="119"/>
    </row>
    <row r="541" spans="1:15" ht="12" customHeight="1">
      <c r="A541" s="344"/>
      <c r="B541" s="335"/>
      <c r="C541" s="64" t="s">
        <v>435</v>
      </c>
      <c r="D541" s="117"/>
      <c r="E541" s="117"/>
      <c r="F541" s="117"/>
      <c r="G541" s="117"/>
      <c r="H541" s="117">
        <v>710</v>
      </c>
      <c r="I541" s="117"/>
      <c r="J541" s="149">
        <f>SUM(D541:I541)</f>
        <v>710</v>
      </c>
      <c r="K541" s="118"/>
      <c r="L541" s="117"/>
      <c r="M541" s="117"/>
      <c r="N541" s="117">
        <f>SUM(J541:M541)</f>
        <v>710</v>
      </c>
      <c r="O541" s="119"/>
    </row>
    <row r="542" spans="1:15" ht="12" customHeight="1">
      <c r="A542" s="344"/>
      <c r="B542" s="335"/>
      <c r="C542" s="64" t="s">
        <v>436</v>
      </c>
      <c r="D542" s="117"/>
      <c r="E542" s="117"/>
      <c r="F542" s="117"/>
      <c r="G542" s="117"/>
      <c r="H542" s="117">
        <v>710</v>
      </c>
      <c r="I542" s="117"/>
      <c r="J542" s="149">
        <f>SUM(D542:I542)</f>
        <v>710</v>
      </c>
      <c r="K542" s="118"/>
      <c r="L542" s="117"/>
      <c r="M542" s="117"/>
      <c r="N542" s="117">
        <f>SUM(J542:M542)</f>
        <v>710</v>
      </c>
      <c r="O542" s="119"/>
    </row>
    <row r="543" spans="1:15" ht="12" customHeight="1">
      <c r="A543" s="344"/>
      <c r="B543" s="335" t="s">
        <v>195</v>
      </c>
      <c r="C543" s="65" t="s">
        <v>518</v>
      </c>
      <c r="D543" s="117"/>
      <c r="E543" s="117"/>
      <c r="F543" s="117"/>
      <c r="G543" s="117"/>
      <c r="H543" s="117"/>
      <c r="I543" s="117"/>
      <c r="J543" s="149"/>
      <c r="K543" s="118"/>
      <c r="L543" s="117"/>
      <c r="M543" s="117"/>
      <c r="N543" s="117"/>
      <c r="O543" s="119"/>
    </row>
    <row r="544" spans="1:15" ht="12" customHeight="1">
      <c r="A544" s="344"/>
      <c r="B544" s="335"/>
      <c r="C544" s="64" t="s">
        <v>434</v>
      </c>
      <c r="D544" s="117"/>
      <c r="E544" s="117"/>
      <c r="F544" s="117"/>
      <c r="G544" s="117"/>
      <c r="H544" s="117">
        <v>500</v>
      </c>
      <c r="I544" s="117"/>
      <c r="J544" s="149">
        <f>SUM(D544:I544)</f>
        <v>500</v>
      </c>
      <c r="K544" s="118"/>
      <c r="L544" s="117"/>
      <c r="M544" s="117"/>
      <c r="N544" s="117">
        <f>SUM(J544:M544)</f>
        <v>500</v>
      </c>
      <c r="O544" s="119"/>
    </row>
    <row r="545" spans="1:15" ht="12" customHeight="1">
      <c r="A545" s="344"/>
      <c r="B545" s="335"/>
      <c r="C545" s="64" t="s">
        <v>435</v>
      </c>
      <c r="D545" s="117"/>
      <c r="E545" s="117"/>
      <c r="F545" s="117"/>
      <c r="G545" s="117"/>
      <c r="H545" s="117">
        <v>500</v>
      </c>
      <c r="I545" s="117"/>
      <c r="J545" s="149">
        <f>SUM(D545:I545)</f>
        <v>500</v>
      </c>
      <c r="K545" s="118"/>
      <c r="L545" s="117"/>
      <c r="M545" s="117"/>
      <c r="N545" s="117">
        <f>SUM(J545:M545)</f>
        <v>500</v>
      </c>
      <c r="O545" s="119"/>
    </row>
    <row r="546" spans="1:15" ht="12.75" customHeight="1">
      <c r="A546" s="344"/>
      <c r="B546" s="335"/>
      <c r="C546" s="64" t="s">
        <v>436</v>
      </c>
      <c r="D546" s="117"/>
      <c r="E546" s="117"/>
      <c r="F546" s="117"/>
      <c r="G546" s="117"/>
      <c r="H546" s="117">
        <v>500</v>
      </c>
      <c r="I546" s="117"/>
      <c r="J546" s="149">
        <f>SUM(D546:I546)</f>
        <v>500</v>
      </c>
      <c r="K546" s="118"/>
      <c r="L546" s="117"/>
      <c r="M546" s="117"/>
      <c r="N546" s="117">
        <f>SUM(J546:M546)</f>
        <v>500</v>
      </c>
      <c r="O546" s="119"/>
    </row>
    <row r="547" spans="1:15" ht="12" customHeight="1">
      <c r="A547" s="344"/>
      <c r="B547" s="335" t="s">
        <v>207</v>
      </c>
      <c r="C547" s="70" t="s">
        <v>420</v>
      </c>
      <c r="D547" s="117"/>
      <c r="E547" s="117"/>
      <c r="F547" s="117"/>
      <c r="G547" s="117"/>
      <c r="H547" s="117"/>
      <c r="I547" s="117"/>
      <c r="J547" s="149"/>
      <c r="K547" s="118"/>
      <c r="L547" s="117"/>
      <c r="M547" s="117"/>
      <c r="N547" s="117"/>
      <c r="O547" s="119"/>
    </row>
    <row r="548" spans="1:15" ht="12" customHeight="1">
      <c r="A548" s="344"/>
      <c r="B548" s="335"/>
      <c r="C548" s="64" t="s">
        <v>434</v>
      </c>
      <c r="D548" s="117"/>
      <c r="E548" s="117"/>
      <c r="F548" s="117">
        <v>27242</v>
      </c>
      <c r="G548" s="117"/>
      <c r="H548" s="117"/>
      <c r="I548" s="117"/>
      <c r="J548" s="149">
        <f>SUM(D548:I548)</f>
        <v>27242</v>
      </c>
      <c r="K548" s="118"/>
      <c r="L548" s="117"/>
      <c r="M548" s="117"/>
      <c r="N548" s="117">
        <f>SUM(J548:M548)</f>
        <v>27242</v>
      </c>
      <c r="O548" s="119"/>
    </row>
    <row r="549" spans="1:15" ht="12" customHeight="1">
      <c r="A549" s="344"/>
      <c r="B549" s="335"/>
      <c r="C549" s="64" t="s">
        <v>435</v>
      </c>
      <c r="D549" s="117"/>
      <c r="E549" s="117"/>
      <c r="F549" s="117">
        <v>29383</v>
      </c>
      <c r="G549" s="117"/>
      <c r="H549" s="117"/>
      <c r="I549" s="117"/>
      <c r="J549" s="149">
        <f>SUM(D549:I549)</f>
        <v>29383</v>
      </c>
      <c r="K549" s="118">
        <v>420</v>
      </c>
      <c r="L549" s="117"/>
      <c r="M549" s="117"/>
      <c r="N549" s="117">
        <f>SUM(J549:M549)</f>
        <v>29803</v>
      </c>
      <c r="O549" s="119"/>
    </row>
    <row r="550" spans="1:15" ht="12" customHeight="1">
      <c r="A550" s="344"/>
      <c r="B550" s="335"/>
      <c r="C550" s="64" t="s">
        <v>436</v>
      </c>
      <c r="D550" s="117"/>
      <c r="E550" s="117"/>
      <c r="F550" s="117">
        <v>27113</v>
      </c>
      <c r="G550" s="117"/>
      <c r="H550" s="117"/>
      <c r="I550" s="117"/>
      <c r="J550" s="149">
        <f>SUM(D550:I550)</f>
        <v>27113</v>
      </c>
      <c r="K550" s="118">
        <v>394</v>
      </c>
      <c r="L550" s="117"/>
      <c r="M550" s="117"/>
      <c r="N550" s="117">
        <f>SUM(J550:M550)</f>
        <v>27507</v>
      </c>
      <c r="O550" s="119"/>
    </row>
    <row r="551" spans="1:15" ht="12" customHeight="1">
      <c r="A551" s="344"/>
      <c r="B551" s="335" t="s">
        <v>208</v>
      </c>
      <c r="C551" s="76" t="s">
        <v>421</v>
      </c>
      <c r="D551" s="117"/>
      <c r="E551" s="117"/>
      <c r="F551" s="117"/>
      <c r="G551" s="117"/>
      <c r="H551" s="117"/>
      <c r="I551" s="117"/>
      <c r="J551" s="149"/>
      <c r="K551" s="118"/>
      <c r="L551" s="117"/>
      <c r="M551" s="183"/>
      <c r="N551" s="117"/>
      <c r="O551" s="119"/>
    </row>
    <row r="552" spans="1:15" ht="12" customHeight="1">
      <c r="A552" s="344"/>
      <c r="B552" s="335"/>
      <c r="C552" s="64" t="s">
        <v>434</v>
      </c>
      <c r="D552" s="117"/>
      <c r="E552" s="117"/>
      <c r="F552" s="117"/>
      <c r="G552" s="117"/>
      <c r="H552" s="117">
        <v>100</v>
      </c>
      <c r="I552" s="117"/>
      <c r="J552" s="149">
        <f>SUM(D552:I552)</f>
        <v>100</v>
      </c>
      <c r="K552" s="118"/>
      <c r="L552" s="117"/>
      <c r="M552" s="183"/>
      <c r="N552" s="117">
        <f>SUM(J552:M552)</f>
        <v>100</v>
      </c>
      <c r="O552" s="119"/>
    </row>
    <row r="553" spans="1:15" ht="12" customHeight="1">
      <c r="A553" s="344"/>
      <c r="B553" s="335"/>
      <c r="C553" s="64" t="s">
        <v>435</v>
      </c>
      <c r="D553" s="117"/>
      <c r="E553" s="117"/>
      <c r="F553" s="117"/>
      <c r="G553" s="117"/>
      <c r="H553" s="117">
        <v>100</v>
      </c>
      <c r="I553" s="117"/>
      <c r="J553" s="149">
        <f>SUM(D553:I553)</f>
        <v>100</v>
      </c>
      <c r="K553" s="118"/>
      <c r="L553" s="117"/>
      <c r="M553" s="183"/>
      <c r="N553" s="117">
        <f>SUM(J553:M553)</f>
        <v>100</v>
      </c>
      <c r="O553" s="119"/>
    </row>
    <row r="554" spans="1:15" ht="12" customHeight="1">
      <c r="A554" s="344"/>
      <c r="B554" s="335"/>
      <c r="C554" s="64" t="s">
        <v>436</v>
      </c>
      <c r="D554" s="117"/>
      <c r="E554" s="117"/>
      <c r="F554" s="117"/>
      <c r="G554" s="117"/>
      <c r="H554" s="117">
        <v>100</v>
      </c>
      <c r="I554" s="117"/>
      <c r="J554" s="149">
        <f>SUM(D554:I554)</f>
        <v>100</v>
      </c>
      <c r="K554" s="118"/>
      <c r="L554" s="117"/>
      <c r="M554" s="183"/>
      <c r="N554" s="117">
        <f>SUM(J554:M554)</f>
        <v>100</v>
      </c>
      <c r="O554" s="119"/>
    </row>
    <row r="555" spans="1:15" ht="12" customHeight="1">
      <c r="A555" s="344"/>
      <c r="B555" s="335" t="s">
        <v>209</v>
      </c>
      <c r="C555" s="75" t="s">
        <v>458</v>
      </c>
      <c r="D555" s="117"/>
      <c r="E555" s="117"/>
      <c r="F555" s="117"/>
      <c r="G555" s="117"/>
      <c r="H555" s="117"/>
      <c r="I555" s="117"/>
      <c r="J555" s="149"/>
      <c r="K555" s="118"/>
      <c r="L555" s="117"/>
      <c r="M555" s="183"/>
      <c r="N555" s="117"/>
      <c r="O555" s="119"/>
    </row>
    <row r="556" spans="1:15" ht="12" customHeight="1">
      <c r="A556" s="344"/>
      <c r="B556" s="335"/>
      <c r="C556" s="64" t="s">
        <v>434</v>
      </c>
      <c r="D556" s="117"/>
      <c r="E556" s="117"/>
      <c r="F556" s="117">
        <v>1279</v>
      </c>
      <c r="G556" s="117"/>
      <c r="H556" s="117"/>
      <c r="I556" s="117"/>
      <c r="J556" s="149">
        <f>SUM(D556:I556)</f>
        <v>1279</v>
      </c>
      <c r="K556" s="118"/>
      <c r="L556" s="117">
        <v>978</v>
      </c>
      <c r="M556" s="183"/>
      <c r="N556" s="117">
        <f>SUM(J556:M556)</f>
        <v>2257</v>
      </c>
      <c r="O556" s="119"/>
    </row>
    <row r="557" spans="1:15" ht="12" customHeight="1">
      <c r="A557" s="344"/>
      <c r="B557" s="335"/>
      <c r="C557" s="64" t="s">
        <v>435</v>
      </c>
      <c r="D557" s="117"/>
      <c r="E557" s="117"/>
      <c r="F557" s="117">
        <v>1279</v>
      </c>
      <c r="G557" s="117"/>
      <c r="H557" s="117"/>
      <c r="I557" s="117"/>
      <c r="J557" s="149">
        <f>SUM(D557:I557)</f>
        <v>1279</v>
      </c>
      <c r="K557" s="118"/>
      <c r="L557" s="117">
        <v>978</v>
      </c>
      <c r="M557" s="183"/>
      <c r="N557" s="117">
        <f>SUM(J557:M557)</f>
        <v>2257</v>
      </c>
      <c r="O557" s="119"/>
    </row>
    <row r="558" spans="1:15" ht="12" customHeight="1">
      <c r="A558" s="344"/>
      <c r="B558" s="335"/>
      <c r="C558" s="64" t="s">
        <v>436</v>
      </c>
      <c r="D558" s="117"/>
      <c r="E558" s="117"/>
      <c r="F558" s="117">
        <v>694</v>
      </c>
      <c r="G558" s="117"/>
      <c r="H558" s="117"/>
      <c r="I558" s="117"/>
      <c r="J558" s="149">
        <f>SUM(D558:I558)</f>
        <v>694</v>
      </c>
      <c r="K558" s="118"/>
      <c r="L558" s="117">
        <v>0</v>
      </c>
      <c r="M558" s="183"/>
      <c r="N558" s="117">
        <f>SUM(J558:M558)</f>
        <v>694</v>
      </c>
      <c r="O558" s="119"/>
    </row>
    <row r="559" spans="1:15" ht="12" customHeight="1">
      <c r="A559" s="344"/>
      <c r="B559" s="335" t="s">
        <v>210</v>
      </c>
      <c r="C559" s="65" t="s">
        <v>459</v>
      </c>
      <c r="D559" s="117"/>
      <c r="E559" s="117"/>
      <c r="F559" s="117"/>
      <c r="G559" s="117"/>
      <c r="H559" s="117"/>
      <c r="I559" s="117"/>
      <c r="J559" s="149"/>
      <c r="K559" s="118"/>
      <c r="L559" s="117"/>
      <c r="M559" s="183"/>
      <c r="N559" s="117"/>
      <c r="O559" s="119"/>
    </row>
    <row r="560" spans="1:15" ht="12" customHeight="1">
      <c r="A560" s="344"/>
      <c r="B560" s="335"/>
      <c r="C560" s="64" t="s">
        <v>434</v>
      </c>
      <c r="D560" s="117"/>
      <c r="E560" s="117"/>
      <c r="F560" s="117">
        <v>1000</v>
      </c>
      <c r="G560" s="117"/>
      <c r="H560" s="117"/>
      <c r="I560" s="117"/>
      <c r="J560" s="149">
        <f>SUM(D560:I560)</f>
        <v>1000</v>
      </c>
      <c r="K560" s="118"/>
      <c r="L560" s="117">
        <v>0</v>
      </c>
      <c r="M560" s="183"/>
      <c r="N560" s="117">
        <f>SUM(J560:M560)</f>
        <v>1000</v>
      </c>
      <c r="O560" s="119"/>
    </row>
    <row r="561" spans="1:15" ht="12" customHeight="1">
      <c r="A561" s="344"/>
      <c r="B561" s="335"/>
      <c r="C561" s="64" t="s">
        <v>435</v>
      </c>
      <c r="D561" s="117"/>
      <c r="E561" s="117"/>
      <c r="F561" s="117">
        <v>1000</v>
      </c>
      <c r="G561" s="117"/>
      <c r="H561" s="117"/>
      <c r="I561" s="117"/>
      <c r="J561" s="149">
        <f>SUM(D561:I561)</f>
        <v>1000</v>
      </c>
      <c r="K561" s="118"/>
      <c r="L561" s="117">
        <v>0</v>
      </c>
      <c r="M561" s="183"/>
      <c r="N561" s="117">
        <f>SUM(J561:M561)</f>
        <v>1000</v>
      </c>
      <c r="O561" s="119"/>
    </row>
    <row r="562" spans="1:15" ht="12" customHeight="1">
      <c r="A562" s="344"/>
      <c r="B562" s="335"/>
      <c r="C562" s="64" t="s">
        <v>436</v>
      </c>
      <c r="D562" s="117"/>
      <c r="E562" s="117"/>
      <c r="F562" s="117">
        <v>1000</v>
      </c>
      <c r="G562" s="117"/>
      <c r="H562" s="117"/>
      <c r="I562" s="117"/>
      <c r="J562" s="149">
        <f>SUM(D562:I562)</f>
        <v>1000</v>
      </c>
      <c r="K562" s="118"/>
      <c r="L562" s="117">
        <v>0</v>
      </c>
      <c r="M562" s="183"/>
      <c r="N562" s="117">
        <f>SUM(J562:M562)</f>
        <v>1000</v>
      </c>
      <c r="O562" s="119"/>
    </row>
    <row r="563" spans="1:15" ht="12" customHeight="1">
      <c r="A563" s="344"/>
      <c r="B563" s="335" t="s">
        <v>211</v>
      </c>
      <c r="C563" s="65" t="s">
        <v>519</v>
      </c>
      <c r="D563" s="117"/>
      <c r="E563" s="117"/>
      <c r="F563" s="117"/>
      <c r="G563" s="117"/>
      <c r="H563" s="117"/>
      <c r="I563" s="117"/>
      <c r="J563" s="149"/>
      <c r="K563" s="118"/>
      <c r="L563" s="117"/>
      <c r="M563" s="183"/>
      <c r="N563" s="117"/>
      <c r="O563" s="119"/>
    </row>
    <row r="564" spans="1:15" ht="12" customHeight="1">
      <c r="A564" s="344"/>
      <c r="B564" s="335"/>
      <c r="C564" s="64" t="s">
        <v>434</v>
      </c>
      <c r="D564" s="117"/>
      <c r="E564" s="117"/>
      <c r="F564" s="117">
        <v>0</v>
      </c>
      <c r="G564" s="117"/>
      <c r="H564" s="117">
        <v>36</v>
      </c>
      <c r="I564" s="117"/>
      <c r="J564" s="149">
        <f>SUM(D564:I564)</f>
        <v>36</v>
      </c>
      <c r="K564" s="118"/>
      <c r="L564" s="117"/>
      <c r="M564" s="183"/>
      <c r="N564" s="117">
        <f>SUM(J564:M564)</f>
        <v>36</v>
      </c>
      <c r="O564" s="119"/>
    </row>
    <row r="565" spans="1:15" ht="12" customHeight="1">
      <c r="A565" s="344"/>
      <c r="B565" s="335"/>
      <c r="C565" s="64" t="s">
        <v>435</v>
      </c>
      <c r="D565" s="117"/>
      <c r="E565" s="117"/>
      <c r="F565" s="117">
        <v>0</v>
      </c>
      <c r="G565" s="117"/>
      <c r="H565" s="117">
        <v>36</v>
      </c>
      <c r="I565" s="117"/>
      <c r="J565" s="149">
        <f>SUM(D565:I565)</f>
        <v>36</v>
      </c>
      <c r="K565" s="118"/>
      <c r="L565" s="117"/>
      <c r="M565" s="183"/>
      <c r="N565" s="117">
        <f>SUM(J565:M565)</f>
        <v>36</v>
      </c>
      <c r="O565" s="119"/>
    </row>
    <row r="566" spans="1:15" ht="12" customHeight="1">
      <c r="A566" s="344"/>
      <c r="B566" s="335"/>
      <c r="C566" s="64" t="s">
        <v>436</v>
      </c>
      <c r="D566" s="117"/>
      <c r="E566" s="117"/>
      <c r="F566" s="117">
        <v>0</v>
      </c>
      <c r="G566" s="117"/>
      <c r="H566" s="117">
        <v>0</v>
      </c>
      <c r="I566" s="117"/>
      <c r="J566" s="149">
        <f>SUM(D566:I566)</f>
        <v>0</v>
      </c>
      <c r="K566" s="118"/>
      <c r="L566" s="117"/>
      <c r="M566" s="183"/>
      <c r="N566" s="117">
        <f>SUM(J566:M566)</f>
        <v>0</v>
      </c>
      <c r="O566" s="119"/>
    </row>
    <row r="567" spans="1:15" ht="12" customHeight="1">
      <c r="A567" s="344"/>
      <c r="B567" s="335">
        <v>19</v>
      </c>
      <c r="C567" s="65" t="s">
        <v>643</v>
      </c>
      <c r="D567" s="117"/>
      <c r="E567" s="117"/>
      <c r="F567" s="117"/>
      <c r="G567" s="117"/>
      <c r="H567" s="117"/>
      <c r="I567" s="117"/>
      <c r="J567" s="149"/>
      <c r="K567" s="118"/>
      <c r="L567" s="117"/>
      <c r="M567" s="183"/>
      <c r="N567" s="117"/>
      <c r="O567" s="119"/>
    </row>
    <row r="568" spans="1:15" ht="12" customHeight="1">
      <c r="A568" s="344"/>
      <c r="B568" s="335"/>
      <c r="C568" s="64" t="s">
        <v>434</v>
      </c>
      <c r="D568" s="117"/>
      <c r="E568" s="117"/>
      <c r="F568" s="117">
        <v>0</v>
      </c>
      <c r="G568" s="117"/>
      <c r="H568" s="117">
        <v>200</v>
      </c>
      <c r="I568" s="117"/>
      <c r="J568" s="149">
        <f>SUM(D568:I568)</f>
        <v>200</v>
      </c>
      <c r="K568" s="118"/>
      <c r="L568" s="117"/>
      <c r="M568" s="183"/>
      <c r="N568" s="117">
        <v>0</v>
      </c>
      <c r="O568" s="119"/>
    </row>
    <row r="569" spans="1:15" ht="12" customHeight="1">
      <c r="A569" s="344"/>
      <c r="B569" s="335"/>
      <c r="C569" s="64" t="s">
        <v>435</v>
      </c>
      <c r="D569" s="117"/>
      <c r="E569" s="117"/>
      <c r="F569" s="117">
        <v>205</v>
      </c>
      <c r="G569" s="117"/>
      <c r="H569" s="117">
        <v>0</v>
      </c>
      <c r="I569" s="117"/>
      <c r="J569" s="149">
        <f>SUM(D569:I569)</f>
        <v>205</v>
      </c>
      <c r="K569" s="118"/>
      <c r="L569" s="117"/>
      <c r="M569" s="183"/>
      <c r="N569" s="117">
        <f>SUM(J569:M569)</f>
        <v>205</v>
      </c>
      <c r="O569" s="119"/>
    </row>
    <row r="570" spans="1:15" ht="12" customHeight="1">
      <c r="A570" s="344"/>
      <c r="B570" s="335"/>
      <c r="C570" s="64" t="s">
        <v>436</v>
      </c>
      <c r="D570" s="117"/>
      <c r="E570" s="117"/>
      <c r="F570" s="117">
        <v>205</v>
      </c>
      <c r="G570" s="117"/>
      <c r="H570" s="117">
        <v>0</v>
      </c>
      <c r="I570" s="117"/>
      <c r="J570" s="149">
        <f>SUM(D570:I570)</f>
        <v>205</v>
      </c>
      <c r="K570" s="118"/>
      <c r="L570" s="117"/>
      <c r="M570" s="183"/>
      <c r="N570" s="117">
        <f>SUM(J570:M570)</f>
        <v>205</v>
      </c>
      <c r="O570" s="119"/>
    </row>
    <row r="571" spans="1:15" ht="12" customHeight="1">
      <c r="A571" s="344"/>
      <c r="B571" s="335">
        <v>20</v>
      </c>
      <c r="C571" s="75" t="s">
        <v>644</v>
      </c>
      <c r="D571" s="117"/>
      <c r="E571" s="117"/>
      <c r="F571" s="117"/>
      <c r="G571" s="117"/>
      <c r="H571" s="117"/>
      <c r="I571" s="117"/>
      <c r="J571" s="149" t="s">
        <v>314</v>
      </c>
      <c r="K571" s="118"/>
      <c r="L571" s="117"/>
      <c r="M571" s="183"/>
      <c r="N571" s="117"/>
      <c r="O571" s="119"/>
    </row>
    <row r="572" spans="1:15" ht="12" customHeight="1">
      <c r="A572" s="344"/>
      <c r="B572" s="335"/>
      <c r="C572" s="64" t="s">
        <v>434</v>
      </c>
      <c r="D572" s="117"/>
      <c r="E572" s="117"/>
      <c r="F572" s="117"/>
      <c r="G572" s="117"/>
      <c r="H572" s="117">
        <v>200</v>
      </c>
      <c r="I572" s="117"/>
      <c r="J572" s="149">
        <f>SUM(D572:I572)</f>
        <v>200</v>
      </c>
      <c r="K572" s="118"/>
      <c r="L572" s="117"/>
      <c r="M572" s="183"/>
      <c r="N572" s="117">
        <v>0</v>
      </c>
      <c r="O572" s="119"/>
    </row>
    <row r="573" spans="1:15" ht="12" customHeight="1">
      <c r="A573" s="344"/>
      <c r="B573" s="335"/>
      <c r="C573" s="64" t="s">
        <v>435</v>
      </c>
      <c r="D573" s="117"/>
      <c r="E573" s="117"/>
      <c r="F573" s="117">
        <v>205</v>
      </c>
      <c r="G573" s="117"/>
      <c r="H573" s="117">
        <v>0</v>
      </c>
      <c r="I573" s="117">
        <v>0</v>
      </c>
      <c r="J573" s="149">
        <f>SUM(D573:I573)</f>
        <v>205</v>
      </c>
      <c r="K573" s="118"/>
      <c r="L573" s="117"/>
      <c r="M573" s="183"/>
      <c r="N573" s="117">
        <f>SUM(J573:M573)</f>
        <v>205</v>
      </c>
      <c r="O573" s="119"/>
    </row>
    <row r="574" spans="1:15" ht="12" customHeight="1">
      <c r="A574" s="851"/>
      <c r="B574" s="338"/>
      <c r="C574" s="74" t="s">
        <v>436</v>
      </c>
      <c r="D574" s="120"/>
      <c r="E574" s="120"/>
      <c r="F574" s="120">
        <v>205</v>
      </c>
      <c r="G574" s="120"/>
      <c r="H574" s="120">
        <v>0</v>
      </c>
      <c r="I574" s="120"/>
      <c r="J574" s="161">
        <f>SUM(D574:I574)</f>
        <v>205</v>
      </c>
      <c r="K574" s="121"/>
      <c r="L574" s="120"/>
      <c r="M574" s="184"/>
      <c r="N574" s="120">
        <f>SUM(J574:M574)</f>
        <v>205</v>
      </c>
      <c r="O574" s="158"/>
    </row>
    <row r="575" spans="1:15" ht="12" customHeight="1">
      <c r="A575" s="344"/>
      <c r="B575" s="335">
        <v>21</v>
      </c>
      <c r="C575" s="903" t="s">
        <v>520</v>
      </c>
      <c r="D575" s="117"/>
      <c r="E575" s="117"/>
      <c r="F575" s="117"/>
      <c r="G575" s="117"/>
      <c r="H575" s="117"/>
      <c r="I575" s="117"/>
      <c r="J575" s="149"/>
      <c r="K575" s="118"/>
      <c r="L575" s="117"/>
      <c r="M575" s="183"/>
      <c r="N575" s="117"/>
      <c r="O575" s="119"/>
    </row>
    <row r="576" spans="1:15" ht="12" customHeight="1">
      <c r="A576" s="344"/>
      <c r="B576" s="335"/>
      <c r="C576" s="64" t="s">
        <v>434</v>
      </c>
      <c r="D576" s="117"/>
      <c r="E576" s="117"/>
      <c r="F576" s="117"/>
      <c r="G576" s="117"/>
      <c r="H576" s="117">
        <v>4000</v>
      </c>
      <c r="I576" s="117"/>
      <c r="J576" s="149">
        <f>SUM(D576:I576)</f>
        <v>4000</v>
      </c>
      <c r="K576" s="118"/>
      <c r="L576" s="117"/>
      <c r="M576" s="183"/>
      <c r="N576" s="117">
        <f>SUM(J576:M576)</f>
        <v>4000</v>
      </c>
      <c r="O576" s="119"/>
    </row>
    <row r="577" spans="1:15" ht="12" customHeight="1">
      <c r="A577" s="344"/>
      <c r="B577" s="335"/>
      <c r="C577" s="64" t="s">
        <v>435</v>
      </c>
      <c r="D577" s="117"/>
      <c r="E577" s="117"/>
      <c r="F577" s="117"/>
      <c r="G577" s="117"/>
      <c r="H577" s="117">
        <v>4000</v>
      </c>
      <c r="I577" s="117"/>
      <c r="J577" s="149">
        <f aca="true" t="shared" si="45" ref="J577:J590">SUM(D577:I577)</f>
        <v>4000</v>
      </c>
      <c r="K577" s="118"/>
      <c r="L577" s="117"/>
      <c r="M577" s="183"/>
      <c r="N577" s="117">
        <f aca="true" t="shared" si="46" ref="N577:N590">SUM(J577:M577)</f>
        <v>4000</v>
      </c>
      <c r="O577" s="119"/>
    </row>
    <row r="578" spans="1:15" ht="12" customHeight="1">
      <c r="A578" s="344"/>
      <c r="B578" s="335"/>
      <c r="C578" s="64" t="s">
        <v>436</v>
      </c>
      <c r="D578" s="117"/>
      <c r="E578" s="117"/>
      <c r="F578" s="117"/>
      <c r="G578" s="117"/>
      <c r="H578" s="117">
        <v>4000</v>
      </c>
      <c r="I578" s="117"/>
      <c r="J578" s="149">
        <f t="shared" si="45"/>
        <v>4000</v>
      </c>
      <c r="K578" s="118"/>
      <c r="L578" s="117"/>
      <c r="M578" s="183"/>
      <c r="N578" s="117">
        <f t="shared" si="46"/>
        <v>4000</v>
      </c>
      <c r="O578" s="119"/>
    </row>
    <row r="579" spans="1:15" ht="12" customHeight="1">
      <c r="A579" s="344"/>
      <c r="B579" s="335">
        <v>22</v>
      </c>
      <c r="C579" s="903" t="s">
        <v>521</v>
      </c>
      <c r="D579" s="117"/>
      <c r="E579" s="117"/>
      <c r="F579" s="117"/>
      <c r="G579" s="117"/>
      <c r="H579" s="117"/>
      <c r="I579" s="117"/>
      <c r="J579" s="149"/>
      <c r="K579" s="118"/>
      <c r="L579" s="117"/>
      <c r="M579" s="183"/>
      <c r="N579" s="117"/>
      <c r="O579" s="119"/>
    </row>
    <row r="580" spans="1:15" ht="12" customHeight="1">
      <c r="A580" s="344"/>
      <c r="B580" s="335"/>
      <c r="C580" s="64" t="s">
        <v>434</v>
      </c>
      <c r="D580" s="117"/>
      <c r="E580" s="117"/>
      <c r="F580" s="117"/>
      <c r="G580" s="117"/>
      <c r="H580" s="117">
        <v>300</v>
      </c>
      <c r="I580" s="117"/>
      <c r="J580" s="149">
        <f t="shared" si="45"/>
        <v>300</v>
      </c>
      <c r="K580" s="118"/>
      <c r="L580" s="117"/>
      <c r="M580" s="183"/>
      <c r="N580" s="117">
        <f t="shared" si="46"/>
        <v>300</v>
      </c>
      <c r="O580" s="119"/>
    </row>
    <row r="581" spans="1:15" ht="12" customHeight="1">
      <c r="A581" s="344"/>
      <c r="B581" s="335"/>
      <c r="C581" s="64" t="s">
        <v>435</v>
      </c>
      <c r="D581" s="117"/>
      <c r="E581" s="117"/>
      <c r="F581" s="117"/>
      <c r="G581" s="117"/>
      <c r="H581" s="117">
        <v>300</v>
      </c>
      <c r="I581" s="117"/>
      <c r="J581" s="149">
        <f t="shared" si="45"/>
        <v>300</v>
      </c>
      <c r="K581" s="118"/>
      <c r="L581" s="117"/>
      <c r="M581" s="183"/>
      <c r="N581" s="117">
        <f t="shared" si="46"/>
        <v>300</v>
      </c>
      <c r="O581" s="119"/>
    </row>
    <row r="582" spans="1:15" ht="12" customHeight="1">
      <c r="A582" s="344"/>
      <c r="B582" s="335"/>
      <c r="C582" s="64" t="s">
        <v>436</v>
      </c>
      <c r="D582" s="117"/>
      <c r="E582" s="117"/>
      <c r="F582" s="117"/>
      <c r="G582" s="117"/>
      <c r="H582" s="117">
        <v>300</v>
      </c>
      <c r="I582" s="117"/>
      <c r="J582" s="149">
        <f t="shared" si="45"/>
        <v>300</v>
      </c>
      <c r="K582" s="118"/>
      <c r="L582" s="117"/>
      <c r="M582" s="183"/>
      <c r="N582" s="117">
        <f t="shared" si="46"/>
        <v>300</v>
      </c>
      <c r="O582" s="119"/>
    </row>
    <row r="583" spans="1:15" ht="12" customHeight="1">
      <c r="A583" s="344"/>
      <c r="B583" s="335">
        <v>23</v>
      </c>
      <c r="C583" s="903" t="s">
        <v>522</v>
      </c>
      <c r="D583" s="117"/>
      <c r="E583" s="117"/>
      <c r="F583" s="117"/>
      <c r="G583" s="117"/>
      <c r="H583" s="117"/>
      <c r="I583" s="117"/>
      <c r="J583" s="149"/>
      <c r="K583" s="118"/>
      <c r="L583" s="117"/>
      <c r="M583" s="183"/>
      <c r="N583" s="117"/>
      <c r="O583" s="119"/>
    </row>
    <row r="584" spans="1:15" ht="12" customHeight="1">
      <c r="A584" s="344"/>
      <c r="B584" s="335"/>
      <c r="C584" s="64" t="s">
        <v>434</v>
      </c>
      <c r="D584" s="117"/>
      <c r="E584" s="117"/>
      <c r="F584" s="117">
        <v>0</v>
      </c>
      <c r="G584" s="117"/>
      <c r="H584" s="117"/>
      <c r="I584" s="117"/>
      <c r="J584" s="149">
        <f t="shared" si="45"/>
        <v>0</v>
      </c>
      <c r="K584" s="118"/>
      <c r="L584" s="117"/>
      <c r="M584" s="183"/>
      <c r="N584" s="117">
        <f t="shared" si="46"/>
        <v>0</v>
      </c>
      <c r="O584" s="119"/>
    </row>
    <row r="585" spans="1:15" ht="12" customHeight="1">
      <c r="A585" s="344"/>
      <c r="B585" s="335"/>
      <c r="C585" s="64" t="s">
        <v>435</v>
      </c>
      <c r="D585" s="117"/>
      <c r="E585" s="117"/>
      <c r="F585" s="117">
        <v>100</v>
      </c>
      <c r="G585" s="117"/>
      <c r="H585" s="117"/>
      <c r="I585" s="117"/>
      <c r="J585" s="149">
        <f t="shared" si="45"/>
        <v>100</v>
      </c>
      <c r="K585" s="118"/>
      <c r="L585" s="117"/>
      <c r="M585" s="183"/>
      <c r="N585" s="117">
        <f t="shared" si="46"/>
        <v>100</v>
      </c>
      <c r="O585" s="119"/>
    </row>
    <row r="586" spans="1:15" ht="12" customHeight="1">
      <c r="A586" s="344"/>
      <c r="B586" s="335"/>
      <c r="C586" s="64" t="s">
        <v>436</v>
      </c>
      <c r="D586" s="117"/>
      <c r="E586" s="117"/>
      <c r="F586" s="117">
        <v>0</v>
      </c>
      <c r="G586" s="117"/>
      <c r="H586" s="117"/>
      <c r="I586" s="117"/>
      <c r="J586" s="149">
        <f t="shared" si="45"/>
        <v>0</v>
      </c>
      <c r="K586" s="118"/>
      <c r="L586" s="117"/>
      <c r="M586" s="183"/>
      <c r="N586" s="117">
        <f t="shared" si="46"/>
        <v>0</v>
      </c>
      <c r="O586" s="119"/>
    </row>
    <row r="587" spans="1:15" ht="12" customHeight="1">
      <c r="A587" s="344"/>
      <c r="B587" s="335">
        <v>24</v>
      </c>
      <c r="C587" s="64" t="s">
        <v>523</v>
      </c>
      <c r="D587" s="117"/>
      <c r="E587" s="117"/>
      <c r="F587" s="117"/>
      <c r="G587" s="117"/>
      <c r="H587" s="117"/>
      <c r="I587" s="117"/>
      <c r="J587" s="149"/>
      <c r="K587" s="118"/>
      <c r="L587" s="117"/>
      <c r="M587" s="183"/>
      <c r="N587" s="117"/>
      <c r="O587" s="119"/>
    </row>
    <row r="588" spans="1:15" ht="12" customHeight="1">
      <c r="A588" s="344"/>
      <c r="B588" s="335"/>
      <c r="C588" s="64" t="s">
        <v>434</v>
      </c>
      <c r="D588" s="117"/>
      <c r="E588" s="117"/>
      <c r="F588" s="117"/>
      <c r="G588" s="117"/>
      <c r="H588" s="117"/>
      <c r="I588" s="117"/>
      <c r="J588" s="149">
        <f t="shared" si="45"/>
        <v>0</v>
      </c>
      <c r="K588" s="118">
        <v>0</v>
      </c>
      <c r="L588" s="117"/>
      <c r="M588" s="183"/>
      <c r="N588" s="117">
        <f t="shared" si="46"/>
        <v>0</v>
      </c>
      <c r="O588" s="119"/>
    </row>
    <row r="589" spans="1:15" ht="12" customHeight="1">
      <c r="A589" s="344"/>
      <c r="B589" s="335"/>
      <c r="C589" s="64" t="s">
        <v>435</v>
      </c>
      <c r="D589" s="117"/>
      <c r="E589" s="117"/>
      <c r="F589" s="117"/>
      <c r="G589" s="117"/>
      <c r="H589" s="117"/>
      <c r="I589" s="117"/>
      <c r="J589" s="149">
        <f t="shared" si="45"/>
        <v>0</v>
      </c>
      <c r="K589" s="118">
        <v>350</v>
      </c>
      <c r="L589" s="117"/>
      <c r="M589" s="183"/>
      <c r="N589" s="117">
        <f t="shared" si="46"/>
        <v>350</v>
      </c>
      <c r="O589" s="119"/>
    </row>
    <row r="590" spans="1:15" ht="12" customHeight="1" thickBot="1">
      <c r="A590" s="936"/>
      <c r="B590" s="347"/>
      <c r="C590" s="432" t="s">
        <v>436</v>
      </c>
      <c r="D590" s="146"/>
      <c r="E590" s="146"/>
      <c r="F590" s="146"/>
      <c r="G590" s="146"/>
      <c r="H590" s="146"/>
      <c r="I590" s="146"/>
      <c r="J590" s="149">
        <f t="shared" si="45"/>
        <v>0</v>
      </c>
      <c r="K590" s="148">
        <v>350</v>
      </c>
      <c r="L590" s="146"/>
      <c r="M590" s="907"/>
      <c r="N590" s="117">
        <f t="shared" si="46"/>
        <v>350</v>
      </c>
      <c r="O590" s="144"/>
    </row>
    <row r="591" spans="1:15" ht="12.75" customHeight="1">
      <c r="A591" s="332">
        <v>30</v>
      </c>
      <c r="B591" s="1098"/>
      <c r="C591" s="69" t="s">
        <v>303</v>
      </c>
      <c r="D591" s="139"/>
      <c r="E591" s="139"/>
      <c r="F591" s="139"/>
      <c r="G591" s="139"/>
      <c r="H591" s="139"/>
      <c r="I591" s="139"/>
      <c r="J591" s="140"/>
      <c r="K591" s="141"/>
      <c r="L591" s="139"/>
      <c r="M591" s="139"/>
      <c r="N591" s="139"/>
      <c r="O591" s="142"/>
    </row>
    <row r="592" spans="1:15" ht="12.75" customHeight="1">
      <c r="A592" s="344"/>
      <c r="B592" s="116"/>
      <c r="C592" s="67" t="s">
        <v>434</v>
      </c>
      <c r="D592" s="130"/>
      <c r="E592" s="130"/>
      <c r="F592" s="130">
        <v>1830</v>
      </c>
      <c r="G592" s="130"/>
      <c r="H592" s="130"/>
      <c r="I592" s="130"/>
      <c r="J592" s="131">
        <f>SUM(D592:H592)</f>
        <v>1830</v>
      </c>
      <c r="K592" s="132"/>
      <c r="L592" s="130"/>
      <c r="M592" s="130"/>
      <c r="N592" s="130">
        <f>SUM(J592:M592)</f>
        <v>1830</v>
      </c>
      <c r="O592" s="119"/>
    </row>
    <row r="593" spans="1:15" ht="12.75" customHeight="1">
      <c r="A593" s="344"/>
      <c r="B593" s="116"/>
      <c r="C593" s="67" t="s">
        <v>435</v>
      </c>
      <c r="D593" s="130"/>
      <c r="E593" s="130"/>
      <c r="F593" s="130">
        <v>1838</v>
      </c>
      <c r="G593" s="130"/>
      <c r="H593" s="130"/>
      <c r="I593" s="130"/>
      <c r="J593" s="131">
        <f>SUM(D593:H593)</f>
        <v>1838</v>
      </c>
      <c r="K593" s="132">
        <v>0</v>
      </c>
      <c r="L593" s="130"/>
      <c r="M593" s="130"/>
      <c r="N593" s="130">
        <f>SUM(J593:M593)</f>
        <v>1838</v>
      </c>
      <c r="O593" s="119"/>
    </row>
    <row r="594" spans="1:15" s="1244" customFormat="1" ht="12.75" customHeight="1" thickBot="1">
      <c r="A594" s="378"/>
      <c r="B594" s="171"/>
      <c r="C594" s="81" t="s">
        <v>436</v>
      </c>
      <c r="D594" s="159"/>
      <c r="E594" s="159"/>
      <c r="F594" s="159">
        <f>1582</f>
        <v>1582</v>
      </c>
      <c r="G594" s="159"/>
      <c r="H594" s="159"/>
      <c r="I594" s="159"/>
      <c r="J594" s="167">
        <f>SUM(D594:H594)</f>
        <v>1582</v>
      </c>
      <c r="K594" s="168">
        <v>0</v>
      </c>
      <c r="L594" s="159"/>
      <c r="M594" s="159"/>
      <c r="N594" s="159">
        <f>SUM(J594:M594)</f>
        <v>1582</v>
      </c>
      <c r="O594" s="153"/>
    </row>
    <row r="595" spans="1:15" ht="12.75" customHeight="1">
      <c r="A595" s="350">
        <v>31</v>
      </c>
      <c r="B595" s="1106"/>
      <c r="C595" s="73" t="s">
        <v>304</v>
      </c>
      <c r="D595" s="145"/>
      <c r="E595" s="145"/>
      <c r="F595" s="145"/>
      <c r="G595" s="145"/>
      <c r="H595" s="145"/>
      <c r="I595" s="145"/>
      <c r="J595" s="154"/>
      <c r="K595" s="155"/>
      <c r="L595" s="145"/>
      <c r="M595" s="145"/>
      <c r="N595" s="145"/>
      <c r="O595" s="154"/>
    </row>
    <row r="596" spans="1:15" ht="11.25" customHeight="1">
      <c r="A596" s="344"/>
      <c r="B596" s="116"/>
      <c r="C596" s="67" t="s">
        <v>434</v>
      </c>
      <c r="D596" s="130">
        <f aca="true" t="shared" si="47" ref="D596:I596">D600+D604</f>
        <v>0</v>
      </c>
      <c r="E596" s="130">
        <f t="shared" si="47"/>
        <v>0</v>
      </c>
      <c r="F596" s="130">
        <f t="shared" si="47"/>
        <v>125</v>
      </c>
      <c r="G596" s="130">
        <f t="shared" si="47"/>
        <v>0</v>
      </c>
      <c r="H596" s="130">
        <f t="shared" si="47"/>
        <v>1000</v>
      </c>
      <c r="I596" s="130">
        <f t="shared" si="47"/>
        <v>0</v>
      </c>
      <c r="J596" s="131">
        <f>SUM(D596:I596)</f>
        <v>1125</v>
      </c>
      <c r="K596" s="132">
        <f>K600+K604</f>
        <v>0</v>
      </c>
      <c r="L596" s="132">
        <f>L600+L604</f>
        <v>0</v>
      </c>
      <c r="M596" s="132">
        <f>M600+M604</f>
        <v>0</v>
      </c>
      <c r="N596" s="130">
        <f>SUM(J596:M596)</f>
        <v>1125</v>
      </c>
      <c r="O596" s="131"/>
    </row>
    <row r="597" spans="1:15" ht="11.25" customHeight="1">
      <c r="A597" s="344"/>
      <c r="B597" s="116"/>
      <c r="C597" s="67" t="s">
        <v>435</v>
      </c>
      <c r="D597" s="130">
        <f aca="true" t="shared" si="48" ref="D597:I598">D601+D605</f>
        <v>0</v>
      </c>
      <c r="E597" s="130">
        <f t="shared" si="48"/>
        <v>0</v>
      </c>
      <c r="F597" s="130">
        <f t="shared" si="48"/>
        <v>325</v>
      </c>
      <c r="G597" s="130">
        <f t="shared" si="48"/>
        <v>0</v>
      </c>
      <c r="H597" s="130">
        <f t="shared" si="48"/>
        <v>800</v>
      </c>
      <c r="I597" s="130">
        <f t="shared" si="48"/>
        <v>0</v>
      </c>
      <c r="J597" s="131">
        <f>SUM(D597:I597)</f>
        <v>1125</v>
      </c>
      <c r="K597" s="132">
        <f aca="true" t="shared" si="49" ref="K597:M598">K601+K605</f>
        <v>0</v>
      </c>
      <c r="L597" s="132">
        <f t="shared" si="49"/>
        <v>0</v>
      </c>
      <c r="M597" s="132">
        <f t="shared" si="49"/>
        <v>0</v>
      </c>
      <c r="N597" s="130">
        <f>SUM(J597:M597)</f>
        <v>1125</v>
      </c>
      <c r="O597" s="131"/>
    </row>
    <row r="598" spans="1:15" ht="11.25" customHeight="1">
      <c r="A598" s="344"/>
      <c r="B598" s="116"/>
      <c r="C598" s="67" t="s">
        <v>436</v>
      </c>
      <c r="D598" s="130">
        <f t="shared" si="48"/>
        <v>0</v>
      </c>
      <c r="E598" s="130">
        <f t="shared" si="48"/>
        <v>0</v>
      </c>
      <c r="F598" s="130">
        <f>F602+F606</f>
        <v>325</v>
      </c>
      <c r="G598" s="130">
        <f t="shared" si="48"/>
        <v>0</v>
      </c>
      <c r="H598" s="130">
        <f t="shared" si="48"/>
        <v>800</v>
      </c>
      <c r="I598" s="130">
        <f t="shared" si="48"/>
        <v>0</v>
      </c>
      <c r="J598" s="131">
        <f>SUM(D598:I598)</f>
        <v>1125</v>
      </c>
      <c r="K598" s="132">
        <f t="shared" si="49"/>
        <v>0</v>
      </c>
      <c r="L598" s="132">
        <f t="shared" si="49"/>
        <v>0</v>
      </c>
      <c r="M598" s="132">
        <f t="shared" si="49"/>
        <v>0</v>
      </c>
      <c r="N598" s="130">
        <f>SUM(J598:M598)</f>
        <v>1125</v>
      </c>
      <c r="O598" s="131"/>
    </row>
    <row r="599" spans="1:15" ht="11.25" customHeight="1">
      <c r="A599" s="344"/>
      <c r="B599" s="335" t="s">
        <v>109</v>
      </c>
      <c r="C599" s="70" t="s">
        <v>422</v>
      </c>
      <c r="D599" s="117"/>
      <c r="E599" s="117"/>
      <c r="F599" s="117"/>
      <c r="G599" s="117"/>
      <c r="H599" s="117"/>
      <c r="I599" s="117"/>
      <c r="J599" s="149"/>
      <c r="K599" s="118"/>
      <c r="L599" s="117"/>
      <c r="M599" s="117"/>
      <c r="N599" s="117"/>
      <c r="O599" s="119"/>
    </row>
    <row r="600" spans="1:15" ht="11.25" customHeight="1">
      <c r="A600" s="344"/>
      <c r="B600" s="335"/>
      <c r="C600" s="64" t="s">
        <v>434</v>
      </c>
      <c r="D600" s="117"/>
      <c r="E600" s="117"/>
      <c r="F600" s="117"/>
      <c r="G600" s="117"/>
      <c r="H600" s="117">
        <v>1000</v>
      </c>
      <c r="I600" s="117"/>
      <c r="J600" s="149">
        <f>SUM(D600:H600)</f>
        <v>1000</v>
      </c>
      <c r="K600" s="118">
        <v>0</v>
      </c>
      <c r="L600" s="117">
        <v>0</v>
      </c>
      <c r="M600" s="117"/>
      <c r="N600" s="117">
        <f>SUM(J600:M600)</f>
        <v>1000</v>
      </c>
      <c r="O600" s="119"/>
    </row>
    <row r="601" spans="1:15" ht="11.25" customHeight="1">
      <c r="A601" s="344"/>
      <c r="B601" s="335"/>
      <c r="C601" s="64" t="s">
        <v>435</v>
      </c>
      <c r="D601" s="117"/>
      <c r="E601" s="117"/>
      <c r="F601" s="117">
        <v>200</v>
      </c>
      <c r="G601" s="117"/>
      <c r="H601" s="117">
        <v>800</v>
      </c>
      <c r="I601" s="117"/>
      <c r="J601" s="149">
        <f>SUM(D601:H601)</f>
        <v>1000</v>
      </c>
      <c r="K601" s="118">
        <v>0</v>
      </c>
      <c r="L601" s="117">
        <v>0</v>
      </c>
      <c r="M601" s="117"/>
      <c r="N601" s="117">
        <f>SUM(J601:M601)</f>
        <v>1000</v>
      </c>
      <c r="O601" s="119"/>
    </row>
    <row r="602" spans="1:15" ht="11.25" customHeight="1">
      <c r="A602" s="344"/>
      <c r="B602" s="335"/>
      <c r="C602" s="64" t="s">
        <v>436</v>
      </c>
      <c r="D602" s="117"/>
      <c r="E602" s="117"/>
      <c r="F602" s="117">
        <v>200</v>
      </c>
      <c r="G602" s="117"/>
      <c r="H602" s="117">
        <v>800</v>
      </c>
      <c r="I602" s="117"/>
      <c r="J602" s="149">
        <f>SUM(D602:H602)</f>
        <v>1000</v>
      </c>
      <c r="K602" s="118">
        <v>0</v>
      </c>
      <c r="L602" s="117">
        <v>0</v>
      </c>
      <c r="M602" s="117"/>
      <c r="N602" s="117">
        <f>SUM(J602:M602)</f>
        <v>1000</v>
      </c>
      <c r="O602" s="119"/>
    </row>
    <row r="603" spans="1:15" ht="11.25" customHeight="1">
      <c r="A603" s="344"/>
      <c r="B603" s="335" t="s">
        <v>111</v>
      </c>
      <c r="C603" s="75" t="s">
        <v>645</v>
      </c>
      <c r="D603" s="117"/>
      <c r="E603" s="117"/>
      <c r="F603" s="117"/>
      <c r="G603" s="117"/>
      <c r="H603" s="117"/>
      <c r="I603" s="117"/>
      <c r="J603" s="149"/>
      <c r="K603" s="118"/>
      <c r="L603" s="117"/>
      <c r="M603" s="117"/>
      <c r="N603" s="117"/>
      <c r="O603" s="119"/>
    </row>
    <row r="604" spans="1:15" ht="11.25" customHeight="1">
      <c r="A604" s="344"/>
      <c r="B604" s="335"/>
      <c r="C604" s="64" t="s">
        <v>434</v>
      </c>
      <c r="D604" s="117"/>
      <c r="E604" s="117"/>
      <c r="F604" s="117">
        <v>125</v>
      </c>
      <c r="G604" s="117"/>
      <c r="H604" s="117"/>
      <c r="I604" s="117"/>
      <c r="J604" s="149">
        <f>SUM(D604:H604)</f>
        <v>125</v>
      </c>
      <c r="K604" s="118"/>
      <c r="L604" s="117"/>
      <c r="M604" s="117"/>
      <c r="N604" s="117">
        <f>SUM(J604:M604)</f>
        <v>125</v>
      </c>
      <c r="O604" s="119"/>
    </row>
    <row r="605" spans="1:15" ht="11.25" customHeight="1">
      <c r="A605" s="344"/>
      <c r="B605" s="335"/>
      <c r="C605" s="64" t="s">
        <v>435</v>
      </c>
      <c r="D605" s="117"/>
      <c r="E605" s="117"/>
      <c r="F605" s="117">
        <v>125</v>
      </c>
      <c r="G605" s="117"/>
      <c r="H605" s="117"/>
      <c r="I605" s="117"/>
      <c r="J605" s="149">
        <f>SUM(D605:H605)</f>
        <v>125</v>
      </c>
      <c r="K605" s="118"/>
      <c r="L605" s="117"/>
      <c r="M605" s="117"/>
      <c r="N605" s="117">
        <f>SUM(J605:M605)</f>
        <v>125</v>
      </c>
      <c r="O605" s="119"/>
    </row>
    <row r="606" spans="1:15" ht="11.25" customHeight="1" thickBot="1">
      <c r="A606" s="344"/>
      <c r="B606" s="335"/>
      <c r="C606" s="64" t="s">
        <v>436</v>
      </c>
      <c r="D606" s="117"/>
      <c r="E606" s="117"/>
      <c r="F606" s="117">
        <v>125</v>
      </c>
      <c r="G606" s="117"/>
      <c r="H606" s="117"/>
      <c r="I606" s="117"/>
      <c r="J606" s="149">
        <f>SUM(D606:H606)</f>
        <v>125</v>
      </c>
      <c r="K606" s="118"/>
      <c r="L606" s="117"/>
      <c r="M606" s="117"/>
      <c r="N606" s="117">
        <f>SUM(J606:M606)</f>
        <v>125</v>
      </c>
      <c r="O606" s="119"/>
    </row>
    <row r="607" spans="1:15" ht="12.75" customHeight="1">
      <c r="A607" s="332">
        <v>32</v>
      </c>
      <c r="B607" s="1110"/>
      <c r="C607" s="69" t="s">
        <v>305</v>
      </c>
      <c r="D607" s="139"/>
      <c r="E607" s="139"/>
      <c r="F607" s="139"/>
      <c r="G607" s="139"/>
      <c r="H607" s="139"/>
      <c r="I607" s="139"/>
      <c r="J607" s="140"/>
      <c r="K607" s="141"/>
      <c r="L607" s="139"/>
      <c r="M607" s="139"/>
      <c r="N607" s="139"/>
      <c r="O607" s="142"/>
    </row>
    <row r="608" spans="1:15" ht="12.75" customHeight="1">
      <c r="A608" s="344"/>
      <c r="B608" s="345"/>
      <c r="C608" s="67" t="s">
        <v>434</v>
      </c>
      <c r="D608" s="145">
        <v>85</v>
      </c>
      <c r="E608" s="145">
        <v>27</v>
      </c>
      <c r="F608" s="145">
        <v>459</v>
      </c>
      <c r="G608" s="145"/>
      <c r="H608" s="145">
        <v>0</v>
      </c>
      <c r="I608" s="145">
        <v>0</v>
      </c>
      <c r="J608" s="154">
        <f>SUM(D608:I608)</f>
        <v>571</v>
      </c>
      <c r="K608" s="155"/>
      <c r="L608" s="145"/>
      <c r="M608" s="145"/>
      <c r="N608" s="130">
        <f>SUM(J608:M608)</f>
        <v>571</v>
      </c>
      <c r="O608" s="115"/>
    </row>
    <row r="609" spans="1:15" ht="12.75" customHeight="1">
      <c r="A609" s="344"/>
      <c r="B609" s="345"/>
      <c r="C609" s="67" t="s">
        <v>435</v>
      </c>
      <c r="D609" s="145">
        <v>98</v>
      </c>
      <c r="E609" s="145">
        <v>27</v>
      </c>
      <c r="F609" s="145">
        <v>759</v>
      </c>
      <c r="G609" s="145"/>
      <c r="H609" s="145">
        <v>0</v>
      </c>
      <c r="I609" s="145">
        <v>50</v>
      </c>
      <c r="J609" s="154">
        <f>SUM(D609:I609)</f>
        <v>934</v>
      </c>
      <c r="K609" s="155"/>
      <c r="L609" s="145"/>
      <c r="M609" s="145"/>
      <c r="N609" s="130">
        <f>SUM(J609:M609)</f>
        <v>934</v>
      </c>
      <c r="O609" s="115"/>
    </row>
    <row r="610" spans="1:15" ht="12.75" customHeight="1" thickBot="1">
      <c r="A610" s="378"/>
      <c r="B610" s="379"/>
      <c r="C610" s="81" t="s">
        <v>436</v>
      </c>
      <c r="D610" s="137">
        <v>92</v>
      </c>
      <c r="E610" s="137">
        <v>22</v>
      </c>
      <c r="F610" s="137">
        <v>746</v>
      </c>
      <c r="G610" s="137"/>
      <c r="H610" s="137">
        <v>0</v>
      </c>
      <c r="I610" s="137">
        <v>50</v>
      </c>
      <c r="J610" s="185">
        <f>SUM(D610:I610)</f>
        <v>910</v>
      </c>
      <c r="K610" s="186"/>
      <c r="L610" s="137"/>
      <c r="M610" s="137"/>
      <c r="N610" s="159">
        <f>SUM(J610:M610)</f>
        <v>910</v>
      </c>
      <c r="O610" s="187"/>
    </row>
    <row r="611" spans="1:15" ht="12.75" customHeight="1">
      <c r="A611" s="350">
        <v>33</v>
      </c>
      <c r="B611" s="351"/>
      <c r="C611" s="73" t="s">
        <v>306</v>
      </c>
      <c r="D611" s="145"/>
      <c r="E611" s="145"/>
      <c r="F611" s="145"/>
      <c r="G611" s="145"/>
      <c r="H611" s="145"/>
      <c r="I611" s="145"/>
      <c r="J611" s="154"/>
      <c r="K611" s="155"/>
      <c r="L611" s="145"/>
      <c r="M611" s="145"/>
      <c r="N611" s="145"/>
      <c r="O611" s="115"/>
    </row>
    <row r="612" spans="1:15" ht="12.75" customHeight="1">
      <c r="A612" s="344"/>
      <c r="B612" s="345"/>
      <c r="C612" s="67" t="s">
        <v>434</v>
      </c>
      <c r="D612" s="145">
        <v>76</v>
      </c>
      <c r="E612" s="145">
        <v>24</v>
      </c>
      <c r="F612" s="145">
        <v>471</v>
      </c>
      <c r="G612" s="145"/>
      <c r="H612" s="145">
        <v>0</v>
      </c>
      <c r="I612" s="145">
        <v>0</v>
      </c>
      <c r="J612" s="154">
        <f>SUM(D612:I612)</f>
        <v>571</v>
      </c>
      <c r="K612" s="155"/>
      <c r="L612" s="145"/>
      <c r="M612" s="145"/>
      <c r="N612" s="145">
        <f aca="true" t="shared" si="50" ref="N612:N618">SUM(J612:M612)</f>
        <v>571</v>
      </c>
      <c r="O612" s="115"/>
    </row>
    <row r="613" spans="1:15" ht="12.75" customHeight="1">
      <c r="A613" s="344"/>
      <c r="B613" s="345"/>
      <c r="C613" s="93" t="s">
        <v>435</v>
      </c>
      <c r="D613" s="145">
        <v>6</v>
      </c>
      <c r="E613" s="145">
        <v>24</v>
      </c>
      <c r="F613" s="145">
        <v>1003</v>
      </c>
      <c r="G613" s="145"/>
      <c r="H613" s="145">
        <v>0</v>
      </c>
      <c r="I613" s="145">
        <v>0</v>
      </c>
      <c r="J613" s="154">
        <f>SUM(D613:I613)</f>
        <v>1033</v>
      </c>
      <c r="K613" s="155"/>
      <c r="L613" s="145"/>
      <c r="M613" s="145"/>
      <c r="N613" s="145">
        <f t="shared" si="50"/>
        <v>1033</v>
      </c>
      <c r="O613" s="115"/>
    </row>
    <row r="614" spans="1:15" ht="12.75" customHeight="1" thickBot="1">
      <c r="A614" s="851"/>
      <c r="B614" s="852"/>
      <c r="C614" s="94" t="s">
        <v>436</v>
      </c>
      <c r="D614" s="134"/>
      <c r="E614" s="134">
        <v>18</v>
      </c>
      <c r="F614" s="134">
        <v>967</v>
      </c>
      <c r="G614" s="134">
        <v>0</v>
      </c>
      <c r="H614" s="134">
        <v>0</v>
      </c>
      <c r="I614" s="134">
        <v>0</v>
      </c>
      <c r="J614" s="135">
        <f>SUM(D614:I614)</f>
        <v>985</v>
      </c>
      <c r="K614" s="136"/>
      <c r="L614" s="134"/>
      <c r="M614" s="134"/>
      <c r="N614" s="134">
        <f t="shared" si="50"/>
        <v>985</v>
      </c>
      <c r="O614" s="144"/>
    </row>
    <row r="615" spans="1:15" ht="12.75" customHeight="1">
      <c r="A615" s="332">
        <v>34</v>
      </c>
      <c r="B615" s="333"/>
      <c r="C615" s="95" t="s">
        <v>307</v>
      </c>
      <c r="D615" s="139"/>
      <c r="E615" s="139"/>
      <c r="F615" s="139"/>
      <c r="G615" s="139"/>
      <c r="H615" s="139"/>
      <c r="I615" s="139"/>
      <c r="J615" s="140"/>
      <c r="K615" s="141"/>
      <c r="L615" s="139"/>
      <c r="M615" s="139"/>
      <c r="N615" s="139">
        <f t="shared" si="50"/>
        <v>0</v>
      </c>
      <c r="O615" s="142"/>
    </row>
    <row r="616" spans="1:15" ht="12.75" customHeight="1">
      <c r="A616" s="344"/>
      <c r="B616" s="345"/>
      <c r="C616" s="93" t="s">
        <v>434</v>
      </c>
      <c r="D616" s="145">
        <v>120</v>
      </c>
      <c r="E616" s="145">
        <v>39</v>
      </c>
      <c r="F616" s="145">
        <v>412</v>
      </c>
      <c r="G616" s="145"/>
      <c r="H616" s="145">
        <v>0</v>
      </c>
      <c r="I616" s="145">
        <v>0</v>
      </c>
      <c r="J616" s="154">
        <f>SUM(D616:I616)</f>
        <v>571</v>
      </c>
      <c r="K616" s="155"/>
      <c r="L616" s="145"/>
      <c r="M616" s="145"/>
      <c r="N616" s="145">
        <f t="shared" si="50"/>
        <v>571</v>
      </c>
      <c r="O616" s="115"/>
    </row>
    <row r="617" spans="1:15" ht="12.75" customHeight="1">
      <c r="A617" s="344"/>
      <c r="B617" s="345"/>
      <c r="C617" s="93" t="s">
        <v>435</v>
      </c>
      <c r="D617" s="130">
        <v>274</v>
      </c>
      <c r="E617" s="130">
        <v>40</v>
      </c>
      <c r="F617" s="130">
        <v>662</v>
      </c>
      <c r="G617" s="130"/>
      <c r="H617" s="130">
        <v>0</v>
      </c>
      <c r="I617" s="130">
        <v>0</v>
      </c>
      <c r="J617" s="131">
        <f>SUM(D617:I617)</f>
        <v>976</v>
      </c>
      <c r="K617" s="132"/>
      <c r="L617" s="130"/>
      <c r="M617" s="130"/>
      <c r="N617" s="130">
        <f t="shared" si="50"/>
        <v>976</v>
      </c>
      <c r="O617" s="119"/>
    </row>
    <row r="618" spans="1:15" ht="12.75" customHeight="1" thickBot="1">
      <c r="A618" s="378"/>
      <c r="B618" s="379"/>
      <c r="C618" s="96" t="s">
        <v>436</v>
      </c>
      <c r="D618" s="159">
        <v>274</v>
      </c>
      <c r="E618" s="159">
        <v>39</v>
      </c>
      <c r="F618" s="159">
        <v>608</v>
      </c>
      <c r="G618" s="159">
        <v>0</v>
      </c>
      <c r="H618" s="159">
        <v>0</v>
      </c>
      <c r="I618" s="159">
        <v>0</v>
      </c>
      <c r="J618" s="167">
        <f>SUM(D618:I618)</f>
        <v>921</v>
      </c>
      <c r="K618" s="168"/>
      <c r="L618" s="159"/>
      <c r="M618" s="159"/>
      <c r="N618" s="159">
        <f t="shared" si="50"/>
        <v>921</v>
      </c>
      <c r="O618" s="153"/>
    </row>
    <row r="619" spans="1:15" ht="12.75" customHeight="1" thickBot="1" thickTop="1">
      <c r="A619" s="1288" t="s">
        <v>648</v>
      </c>
      <c r="B619" s="1289"/>
      <c r="C619" s="1289"/>
      <c r="D619" s="1298"/>
      <c r="E619" s="188"/>
      <c r="F619" s="188"/>
      <c r="G619" s="188"/>
      <c r="H619" s="188"/>
      <c r="I619" s="188"/>
      <c r="J619" s="189"/>
      <c r="K619" s="190"/>
      <c r="L619" s="188"/>
      <c r="M619" s="188"/>
      <c r="N619" s="188"/>
      <c r="O619" s="191"/>
    </row>
    <row r="620" spans="1:15" ht="12.75" customHeight="1" thickTop="1">
      <c r="A620" s="366"/>
      <c r="B620" s="372"/>
      <c r="C620" s="97" t="s">
        <v>434</v>
      </c>
      <c r="D620" s="192">
        <f aca="true" t="shared" si="51" ref="D620:I622">D40+D52+D60+D72+D108+D160+D164+D168+D172+D176+D180+D184+D236+D252+D264+D328+D368+D372+D408+D452+D468+D492+D592+D596+D608+D612+D616</f>
        <v>284846</v>
      </c>
      <c r="E620" s="192">
        <f t="shared" si="51"/>
        <v>86844</v>
      </c>
      <c r="F620" s="192">
        <f t="shared" si="51"/>
        <v>384266</v>
      </c>
      <c r="G620" s="192">
        <f t="shared" si="51"/>
        <v>0</v>
      </c>
      <c r="H620" s="192">
        <f t="shared" si="51"/>
        <v>178893</v>
      </c>
      <c r="I620" s="192">
        <f t="shared" si="51"/>
        <v>356709</v>
      </c>
      <c r="J620" s="193">
        <f>SUM(D620:I620)</f>
        <v>1291558</v>
      </c>
      <c r="K620" s="192">
        <f aca="true" t="shared" si="52" ref="K620:M622">K40+K52+K60+K72+K108+K160+K164+K168+K172+K176+K180+K184+K236+K252+K264+K328+K368+K372+K408+K452+K468+K492+K592+K596+K608+K612+K616</f>
        <v>54605</v>
      </c>
      <c r="L620" s="192">
        <f t="shared" si="52"/>
        <v>26979</v>
      </c>
      <c r="M620" s="192">
        <f t="shared" si="52"/>
        <v>22600</v>
      </c>
      <c r="N620" s="192">
        <f>SUM(J620:M620)</f>
        <v>1395742</v>
      </c>
      <c r="O620" s="194">
        <f>O40+O52+O60+O72+O108+O160+O164+O168+O172+O176+O180+O184+O236+O252+O264+O328+O368+O372+O408+O452+O468+O492+O592+O596+O608+O612+O616</f>
        <v>71</v>
      </c>
    </row>
    <row r="621" spans="1:15" ht="12.75" customHeight="1">
      <c r="A621" s="365"/>
      <c r="B621" s="345"/>
      <c r="C621" s="67" t="s">
        <v>435</v>
      </c>
      <c r="D621" s="130">
        <f t="shared" si="51"/>
        <v>276354</v>
      </c>
      <c r="E621" s="132">
        <f t="shared" si="51"/>
        <v>76125</v>
      </c>
      <c r="F621" s="132">
        <f t="shared" si="51"/>
        <v>451264</v>
      </c>
      <c r="G621" s="132">
        <f t="shared" si="51"/>
        <v>0</v>
      </c>
      <c r="H621" s="132">
        <f t="shared" si="51"/>
        <v>178343</v>
      </c>
      <c r="I621" s="132">
        <f t="shared" si="51"/>
        <v>384905</v>
      </c>
      <c r="J621" s="131">
        <f>SUM(D621:I621)</f>
        <v>1366991</v>
      </c>
      <c r="K621" s="132">
        <f t="shared" si="52"/>
        <v>696832</v>
      </c>
      <c r="L621" s="132">
        <f t="shared" si="52"/>
        <v>42906</v>
      </c>
      <c r="M621" s="132">
        <f t="shared" si="52"/>
        <v>313684</v>
      </c>
      <c r="N621" s="132">
        <f>SUM(J621:M621)</f>
        <v>2420413</v>
      </c>
      <c r="O621" s="164">
        <f>O41+O53+O61+O73+O109+O161+O165+O169+O173+O177+O181+O185+O237+O253+O265+O329+O369+O373+O409+O453+O469+O493+O593+O597+O609+O613+O617</f>
        <v>131</v>
      </c>
    </row>
    <row r="622" spans="1:15" ht="12.75" customHeight="1" thickBot="1">
      <c r="A622" s="361"/>
      <c r="B622" s="1111"/>
      <c r="C622" s="98" t="s">
        <v>436</v>
      </c>
      <c r="D622" s="136">
        <f t="shared" si="51"/>
        <v>253719</v>
      </c>
      <c r="E622" s="136">
        <f t="shared" si="51"/>
        <v>69227</v>
      </c>
      <c r="F622" s="136">
        <f t="shared" si="51"/>
        <v>368081</v>
      </c>
      <c r="G622" s="136">
        <f t="shared" si="51"/>
        <v>0</v>
      </c>
      <c r="H622" s="136">
        <f t="shared" si="51"/>
        <v>149440</v>
      </c>
      <c r="I622" s="136">
        <f t="shared" si="51"/>
        <v>372348</v>
      </c>
      <c r="J622" s="195">
        <f>SUM(D622:I622)</f>
        <v>1212815</v>
      </c>
      <c r="K622" s="136">
        <f t="shared" si="52"/>
        <v>88441</v>
      </c>
      <c r="L622" s="136">
        <f t="shared" si="52"/>
        <v>31665</v>
      </c>
      <c r="M622" s="136">
        <f t="shared" si="52"/>
        <v>0</v>
      </c>
      <c r="N622" s="196">
        <f>SUM(J622:M622)</f>
        <v>1332921</v>
      </c>
      <c r="O622" s="197">
        <f>O42+O54+O62+O74+O110+O162+O166+O170+O174+O178+O182+O186+O238+O254+O266+O330+O370+O374+O410+O454+O470+O494+O594+O598+O610+O614+O618</f>
        <v>71</v>
      </c>
    </row>
    <row r="623" spans="1:15" ht="12.75" customHeight="1" thickBot="1" thickTop="1">
      <c r="A623" s="1307" t="s">
        <v>649</v>
      </c>
      <c r="B623" s="1308"/>
      <c r="C623" s="1309"/>
      <c r="D623" s="198"/>
      <c r="E623" s="198"/>
      <c r="F623" s="198"/>
      <c r="G623" s="198"/>
      <c r="H623" s="198"/>
      <c r="I623" s="198"/>
      <c r="J623" s="199"/>
      <c r="K623" s="198"/>
      <c r="L623" s="198"/>
      <c r="M623" s="198"/>
      <c r="N623" s="200"/>
      <c r="O623" s="199"/>
    </row>
    <row r="624" spans="1:15" ht="12.75" customHeight="1">
      <c r="A624" s="332"/>
      <c r="B624" s="333"/>
      <c r="C624" s="67" t="s">
        <v>434</v>
      </c>
      <c r="D624" s="139">
        <f aca="true" t="shared" si="53" ref="D624:O624">D36+D620</f>
        <v>621607</v>
      </c>
      <c r="E624" s="139">
        <f t="shared" si="53"/>
        <v>192523</v>
      </c>
      <c r="F624" s="139">
        <f t="shared" si="53"/>
        <v>463362</v>
      </c>
      <c r="G624" s="139">
        <f t="shared" si="53"/>
        <v>0</v>
      </c>
      <c r="H624" s="139">
        <f t="shared" si="53"/>
        <v>178893</v>
      </c>
      <c r="I624" s="139">
        <f t="shared" si="53"/>
        <v>356709</v>
      </c>
      <c r="J624" s="140">
        <f t="shared" si="53"/>
        <v>1813094</v>
      </c>
      <c r="K624" s="141">
        <f t="shared" si="53"/>
        <v>56105</v>
      </c>
      <c r="L624" s="139">
        <f t="shared" si="53"/>
        <v>26979</v>
      </c>
      <c r="M624" s="139">
        <f t="shared" si="53"/>
        <v>22600</v>
      </c>
      <c r="N624" s="139">
        <f t="shared" si="53"/>
        <v>1918778</v>
      </c>
      <c r="O624" s="201">
        <f t="shared" si="53"/>
        <v>211.7</v>
      </c>
    </row>
    <row r="625" spans="1:15" ht="12.75" customHeight="1">
      <c r="A625" s="344"/>
      <c r="B625" s="345"/>
      <c r="C625" s="67" t="s">
        <v>435</v>
      </c>
      <c r="D625" s="130">
        <f aca="true" t="shared" si="54" ref="D625:O625">D37+D621</f>
        <v>608360</v>
      </c>
      <c r="E625" s="130">
        <f t="shared" si="54"/>
        <v>174020</v>
      </c>
      <c r="F625" s="130">
        <f t="shared" si="54"/>
        <v>554355</v>
      </c>
      <c r="G625" s="130">
        <f t="shared" si="54"/>
        <v>0</v>
      </c>
      <c r="H625" s="130">
        <f t="shared" si="54"/>
        <v>178343</v>
      </c>
      <c r="I625" s="130">
        <f t="shared" si="54"/>
        <v>384905</v>
      </c>
      <c r="J625" s="131">
        <f t="shared" si="54"/>
        <v>1899983</v>
      </c>
      <c r="K625" s="132">
        <f t="shared" si="54"/>
        <v>699579</v>
      </c>
      <c r="L625" s="130">
        <f t="shared" si="54"/>
        <v>42906</v>
      </c>
      <c r="M625" s="130">
        <f t="shared" si="54"/>
        <v>313684</v>
      </c>
      <c r="N625" s="130">
        <f t="shared" si="54"/>
        <v>2956152</v>
      </c>
      <c r="O625" s="164">
        <f t="shared" si="54"/>
        <v>271.7</v>
      </c>
    </row>
    <row r="626" spans="1:15" s="45" customFormat="1" ht="12.75" customHeight="1" thickBot="1">
      <c r="A626" s="378"/>
      <c r="B626" s="379"/>
      <c r="C626" s="81" t="s">
        <v>436</v>
      </c>
      <c r="D626" s="159">
        <f aca="true" t="shared" si="55" ref="D626:O626">D38+D622</f>
        <v>574080</v>
      </c>
      <c r="E626" s="159">
        <f t="shared" si="55"/>
        <v>163312</v>
      </c>
      <c r="F626" s="159">
        <f t="shared" si="55"/>
        <v>456755</v>
      </c>
      <c r="G626" s="159">
        <f t="shared" si="55"/>
        <v>0</v>
      </c>
      <c r="H626" s="159">
        <f t="shared" si="55"/>
        <v>149440</v>
      </c>
      <c r="I626" s="159">
        <f t="shared" si="55"/>
        <v>372348</v>
      </c>
      <c r="J626" s="167">
        <f t="shared" si="55"/>
        <v>1715935</v>
      </c>
      <c r="K626" s="168">
        <f t="shared" si="55"/>
        <v>90964</v>
      </c>
      <c r="L626" s="159">
        <f t="shared" si="55"/>
        <v>31665</v>
      </c>
      <c r="M626" s="159">
        <f t="shared" si="55"/>
        <v>0</v>
      </c>
      <c r="N626" s="159">
        <f t="shared" si="55"/>
        <v>1838564</v>
      </c>
      <c r="O626" s="894">
        <f t="shared" si="55"/>
        <v>211.7</v>
      </c>
    </row>
    <row r="628" spans="10:14" ht="12.75" customHeight="1">
      <c r="J628" s="59"/>
      <c r="K628" s="59" t="s">
        <v>314</v>
      </c>
      <c r="N628" s="59"/>
    </row>
    <row r="630" ht="12.75" customHeight="1">
      <c r="D630" s="918"/>
    </row>
    <row r="631" spans="10:14" ht="12.75" customHeight="1">
      <c r="J631" s="59"/>
      <c r="N631" s="59"/>
    </row>
  </sheetData>
  <sheetProtection/>
  <mergeCells count="19">
    <mergeCell ref="N3:O3"/>
    <mergeCell ref="C363:F363"/>
    <mergeCell ref="A623:C623"/>
    <mergeCell ref="I4:I6"/>
    <mergeCell ref="H4:H6"/>
    <mergeCell ref="A35:C35"/>
    <mergeCell ref="A4:B4"/>
    <mergeCell ref="A5:B5"/>
    <mergeCell ref="A6:B6"/>
    <mergeCell ref="C539:F539"/>
    <mergeCell ref="A619:D619"/>
    <mergeCell ref="C75:E75"/>
    <mergeCell ref="C79:E79"/>
    <mergeCell ref="C291:F291"/>
    <mergeCell ref="C295:F295"/>
    <mergeCell ref="C299:F299"/>
    <mergeCell ref="C303:F303"/>
    <mergeCell ref="C347:F347"/>
    <mergeCell ref="C323:F323"/>
  </mergeCells>
  <printOptions horizontalCentered="1" verticalCentered="1"/>
  <pageMargins left="0.3937007874015748" right="0.3937007874015748" top="0.1968503937007874" bottom="0.5905511811023623" header="0" footer="0"/>
  <pageSetup horizontalDpi="600" verticalDpi="600" orientation="landscape" paperSize="9" scale="80" r:id="rId2"/>
  <rowBreaks count="13" manualBreakCount="13">
    <brk id="46" max="14" man="1"/>
    <brk id="90" max="14" man="1"/>
    <brk id="138" max="14" man="1"/>
    <brk id="182" max="14" man="1"/>
    <brk id="226" max="14" man="1"/>
    <brk id="270" max="14" man="1"/>
    <brk id="314" max="14" man="1"/>
    <brk id="358" max="14" man="1"/>
    <brk id="402" max="14" man="1"/>
    <brk id="446" max="14" man="1"/>
    <brk id="490" max="14" man="1"/>
    <brk id="542" max="14" man="1"/>
    <brk id="594" max="1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92"/>
  <sheetViews>
    <sheetView view="pageBreakPreview" zoomScale="145" zoomScaleSheetLayoutView="145" zoomScalePageLayoutView="0" workbookViewId="0" topLeftCell="A1">
      <selection activeCell="F13" sqref="F13"/>
    </sheetView>
  </sheetViews>
  <sheetFormatPr defaultColWidth="9.00390625" defaultRowHeight="12" customHeight="1"/>
  <cols>
    <col min="1" max="1" width="3.25390625" style="220" customWidth="1"/>
    <col min="2" max="2" width="3.125" style="220" customWidth="1"/>
    <col min="3" max="3" width="52.75390625" style="419" customWidth="1"/>
    <col min="4" max="4" width="9.25390625" style="1112" customWidth="1"/>
    <col min="5" max="5" width="9.375" style="1113" customWidth="1"/>
    <col min="6" max="6" width="7.25390625" style="1113" customWidth="1"/>
    <col min="7" max="16384" width="9.125" style="20" customWidth="1"/>
  </cols>
  <sheetData>
    <row r="4" ht="10.5" customHeight="1">
      <c r="F4" s="1114" t="s">
        <v>94</v>
      </c>
    </row>
    <row r="5" ht="1.5" customHeight="1" thickBot="1">
      <c r="E5" s="1113" t="s">
        <v>308</v>
      </c>
    </row>
    <row r="6" spans="1:6" s="21" customFormat="1" ht="24.75" customHeight="1" thickBot="1">
      <c r="A6" s="1325" t="s">
        <v>134</v>
      </c>
      <c r="B6" s="1326"/>
      <c r="C6" s="1327"/>
      <c r="D6" s="1115" t="s">
        <v>469</v>
      </c>
      <c r="E6" s="1116" t="s">
        <v>470</v>
      </c>
      <c r="F6" s="1117" t="s">
        <v>471</v>
      </c>
    </row>
    <row r="7" spans="1:6" s="22" customFormat="1" ht="10.5" customHeight="1">
      <c r="A7" s="420" t="s">
        <v>140</v>
      </c>
      <c r="B7" s="224"/>
      <c r="C7" s="217" t="s">
        <v>156</v>
      </c>
      <c r="D7" s="1118"/>
      <c r="E7" s="308"/>
      <c r="F7" s="1119"/>
    </row>
    <row r="8" spans="1:6" s="22" customFormat="1" ht="10.5" customHeight="1">
      <c r="A8" s="420"/>
      <c r="B8" s="224" t="s">
        <v>309</v>
      </c>
      <c r="C8" s="217" t="s">
        <v>310</v>
      </c>
      <c r="D8" s="308">
        <f>SUM(D9:D44)</f>
        <v>41792</v>
      </c>
      <c r="E8" s="308">
        <f>SUM(E9:E44)</f>
        <v>627448</v>
      </c>
      <c r="F8" s="1120">
        <f>SUM(F9:F44)</f>
        <v>52873</v>
      </c>
    </row>
    <row r="9" spans="1:6" s="21" customFormat="1" ht="9.75" customHeight="1">
      <c r="A9" s="421"/>
      <c r="B9" s="202"/>
      <c r="C9" s="219"/>
      <c r="D9" s="1121"/>
      <c r="E9" s="1122"/>
      <c r="F9" s="1123"/>
    </row>
    <row r="10" spans="1:7" s="21" customFormat="1" ht="10.5" customHeight="1">
      <c r="A10" s="421"/>
      <c r="B10" s="202">
        <v>1</v>
      </c>
      <c r="C10" s="908" t="s">
        <v>528</v>
      </c>
      <c r="D10" s="1124">
        <v>2000</v>
      </c>
      <c r="E10" s="1125">
        <f>2000-480+57+200</f>
        <v>1777</v>
      </c>
      <c r="F10" s="1126">
        <v>1759</v>
      </c>
      <c r="G10" s="449"/>
    </row>
    <row r="11" spans="1:7" s="21" customFormat="1" ht="10.5" customHeight="1">
      <c r="A11" s="421"/>
      <c r="B11" s="202" t="s">
        <v>111</v>
      </c>
      <c r="C11" s="908" t="s">
        <v>529</v>
      </c>
      <c r="D11" s="1127">
        <v>790</v>
      </c>
      <c r="E11" s="1128">
        <v>790</v>
      </c>
      <c r="F11" s="1126">
        <v>0</v>
      </c>
      <c r="G11" s="449"/>
    </row>
    <row r="12" spans="1:6" s="21" customFormat="1" ht="10.5" customHeight="1">
      <c r="A12" s="421"/>
      <c r="B12" s="202" t="s">
        <v>113</v>
      </c>
      <c r="C12" s="908" t="s">
        <v>530</v>
      </c>
      <c r="D12" s="1124">
        <v>5000</v>
      </c>
      <c r="E12" s="1128">
        <f>5000+3500+100</f>
        <v>8600</v>
      </c>
      <c r="F12" s="1126">
        <f>-162+3705-1</f>
        <v>3542</v>
      </c>
    </row>
    <row r="13" spans="1:6" s="22" customFormat="1" ht="10.5" customHeight="1">
      <c r="A13" s="421"/>
      <c r="B13" s="202" t="s">
        <v>115</v>
      </c>
      <c r="C13" s="909" t="s">
        <v>531</v>
      </c>
      <c r="D13" s="1129">
        <v>19670</v>
      </c>
      <c r="E13" s="1128">
        <f>19670+140+230+9</f>
        <v>20049</v>
      </c>
      <c r="F13" s="1126">
        <v>20472</v>
      </c>
    </row>
    <row r="14" spans="1:6" s="23" customFormat="1" ht="10.5" customHeight="1">
      <c r="A14" s="421"/>
      <c r="B14" s="202" t="s">
        <v>117</v>
      </c>
      <c r="C14" s="910" t="s">
        <v>532</v>
      </c>
      <c r="D14" s="1130">
        <v>1532</v>
      </c>
      <c r="E14" s="1131">
        <v>14</v>
      </c>
      <c r="F14" s="1126">
        <v>0</v>
      </c>
    </row>
    <row r="15" spans="1:6" s="23" customFormat="1" ht="10.5" customHeight="1">
      <c r="A15" s="421"/>
      <c r="B15" s="202" t="s">
        <v>119</v>
      </c>
      <c r="C15" s="908" t="s">
        <v>533</v>
      </c>
      <c r="D15" s="1132">
        <v>5500</v>
      </c>
      <c r="E15" s="1128">
        <v>5500</v>
      </c>
      <c r="F15" s="1126">
        <v>0</v>
      </c>
    </row>
    <row r="16" spans="1:6" s="23" customFormat="1" ht="10.5" customHeight="1">
      <c r="A16" s="421"/>
      <c r="B16" s="202" t="s">
        <v>121</v>
      </c>
      <c r="C16" s="908" t="s">
        <v>534</v>
      </c>
      <c r="D16" s="1130">
        <v>1800</v>
      </c>
      <c r="E16" s="1128">
        <v>1717</v>
      </c>
      <c r="F16" s="1126">
        <v>0</v>
      </c>
    </row>
    <row r="17" spans="1:6" s="23" customFormat="1" ht="10.5" customHeight="1">
      <c r="A17" s="421"/>
      <c r="B17" s="202" t="s">
        <v>122</v>
      </c>
      <c r="C17" s="908" t="s">
        <v>535</v>
      </c>
      <c r="D17" s="1133">
        <v>600</v>
      </c>
      <c r="E17" s="1128">
        <f>600+25</f>
        <v>625</v>
      </c>
      <c r="F17" s="1126">
        <v>0</v>
      </c>
    </row>
    <row r="18" spans="1:6" s="23" customFormat="1" ht="10.5" customHeight="1">
      <c r="A18" s="421"/>
      <c r="B18" s="202" t="s">
        <v>124</v>
      </c>
      <c r="C18" s="908" t="s">
        <v>536</v>
      </c>
      <c r="D18" s="1130">
        <v>4600</v>
      </c>
      <c r="E18" s="1128">
        <f>4600+192</f>
        <v>4792</v>
      </c>
      <c r="F18" s="1126">
        <v>0</v>
      </c>
    </row>
    <row r="19" spans="1:6" s="23" customFormat="1" ht="10.5" customHeight="1">
      <c r="A19" s="421"/>
      <c r="B19" s="202" t="s">
        <v>126</v>
      </c>
      <c r="C19" s="910" t="s">
        <v>537</v>
      </c>
      <c r="D19" s="1130">
        <v>300</v>
      </c>
      <c r="E19" s="1131">
        <f>300+12</f>
        <v>312</v>
      </c>
      <c r="F19" s="1126">
        <v>259</v>
      </c>
    </row>
    <row r="20" spans="1:6" s="23" customFormat="1" ht="10.5" customHeight="1">
      <c r="A20" s="421"/>
      <c r="B20" s="202" t="s">
        <v>127</v>
      </c>
      <c r="C20" s="203" t="s">
        <v>650</v>
      </c>
      <c r="D20" s="1130">
        <v>0</v>
      </c>
      <c r="E20" s="1128">
        <f>2820-100-1000</f>
        <v>1720</v>
      </c>
      <c r="F20" s="1126">
        <v>0</v>
      </c>
    </row>
    <row r="21" spans="1:6" s="23" customFormat="1" ht="10.5" customHeight="1">
      <c r="A21" s="421"/>
      <c r="B21" s="202" t="s">
        <v>192</v>
      </c>
      <c r="C21" s="206" t="s">
        <v>431</v>
      </c>
      <c r="D21" s="1130">
        <v>0</v>
      </c>
      <c r="E21" s="1128">
        <f>57-57</f>
        <v>0</v>
      </c>
      <c r="F21" s="1126">
        <v>0</v>
      </c>
    </row>
    <row r="22" spans="1:6" s="23" customFormat="1" ht="10.5" customHeight="1">
      <c r="A22" s="421"/>
      <c r="B22" s="202" t="s">
        <v>195</v>
      </c>
      <c r="C22" s="203" t="s">
        <v>538</v>
      </c>
      <c r="D22" s="1130">
        <v>0</v>
      </c>
      <c r="E22" s="1128">
        <f>2312+147</f>
        <v>2459</v>
      </c>
      <c r="F22" s="1126">
        <v>1632</v>
      </c>
    </row>
    <row r="23" spans="1:7" s="23" customFormat="1" ht="10.5" customHeight="1">
      <c r="A23" s="421"/>
      <c r="B23" s="202" t="s">
        <v>207</v>
      </c>
      <c r="C23" s="208" t="s">
        <v>651</v>
      </c>
      <c r="D23" s="1130">
        <v>0</v>
      </c>
      <c r="E23" s="1128">
        <f>65964</f>
        <v>65964</v>
      </c>
      <c r="F23" s="1126">
        <v>0</v>
      </c>
      <c r="G23" s="451"/>
    </row>
    <row r="24" spans="1:6" s="23" customFormat="1" ht="10.5" customHeight="1">
      <c r="A24" s="421"/>
      <c r="B24" s="202" t="s">
        <v>208</v>
      </c>
      <c r="C24" s="207" t="s">
        <v>539</v>
      </c>
      <c r="D24" s="1130">
        <v>0</v>
      </c>
      <c r="E24" s="1128">
        <v>13274</v>
      </c>
      <c r="F24" s="1126">
        <v>1620</v>
      </c>
    </row>
    <row r="25" spans="1:6" s="23" customFormat="1" ht="10.5" customHeight="1">
      <c r="A25" s="421"/>
      <c r="B25" s="202" t="s">
        <v>209</v>
      </c>
      <c r="C25" s="207" t="s">
        <v>540</v>
      </c>
      <c r="D25" s="1130">
        <v>0</v>
      </c>
      <c r="E25" s="1128">
        <v>20000</v>
      </c>
      <c r="F25" s="1126">
        <v>0</v>
      </c>
    </row>
    <row r="26" spans="1:6" s="23" customFormat="1" ht="10.5" customHeight="1">
      <c r="A26" s="421"/>
      <c r="B26" s="202" t="s">
        <v>210</v>
      </c>
      <c r="C26" s="204" t="s">
        <v>654</v>
      </c>
      <c r="D26" s="1134">
        <v>0</v>
      </c>
      <c r="E26" s="1128">
        <v>60000</v>
      </c>
      <c r="F26" s="1126">
        <v>0</v>
      </c>
    </row>
    <row r="27" spans="1:6" s="23" customFormat="1" ht="10.5" customHeight="1">
      <c r="A27" s="421"/>
      <c r="B27" s="202" t="s">
        <v>211</v>
      </c>
      <c r="C27" s="209" t="s">
        <v>541</v>
      </c>
      <c r="D27" s="1134">
        <v>0</v>
      </c>
      <c r="E27" s="1128">
        <f>775-775+100</f>
        <v>100</v>
      </c>
      <c r="F27" s="1126">
        <v>264</v>
      </c>
    </row>
    <row r="28" spans="1:6" s="23" customFormat="1" ht="10.5" customHeight="1">
      <c r="A28" s="421"/>
      <c r="B28" s="202" t="s">
        <v>212</v>
      </c>
      <c r="C28" s="209" t="s">
        <v>658</v>
      </c>
      <c r="D28" s="1135">
        <v>0</v>
      </c>
      <c r="E28" s="1128">
        <f>9-9</f>
        <v>0</v>
      </c>
      <c r="F28" s="1126">
        <v>0</v>
      </c>
    </row>
    <row r="29" spans="1:6" s="23" customFormat="1" ht="10.5" customHeight="1">
      <c r="A29" s="421"/>
      <c r="B29" s="202" t="s">
        <v>213</v>
      </c>
      <c r="C29" s="206" t="s">
        <v>659</v>
      </c>
      <c r="D29" s="1134">
        <v>0</v>
      </c>
      <c r="E29" s="1128">
        <v>280</v>
      </c>
      <c r="F29" s="1126">
        <v>0</v>
      </c>
    </row>
    <row r="30" spans="1:6" s="23" customFormat="1" ht="10.5" customHeight="1">
      <c r="A30" s="421"/>
      <c r="B30" s="202" t="s">
        <v>214</v>
      </c>
      <c r="C30" s="211" t="s">
        <v>697</v>
      </c>
      <c r="D30" s="1134">
        <v>0</v>
      </c>
      <c r="E30" s="1128">
        <f>3630+20570</f>
        <v>24200</v>
      </c>
      <c r="F30" s="1126">
        <v>541</v>
      </c>
    </row>
    <row r="31" spans="1:6" s="23" customFormat="1" ht="10.5" customHeight="1">
      <c r="A31" s="421"/>
      <c r="B31" s="202" t="s">
        <v>215</v>
      </c>
      <c r="C31" s="206" t="s">
        <v>698</v>
      </c>
      <c r="D31" s="1134">
        <v>0</v>
      </c>
      <c r="E31" s="1128">
        <v>105</v>
      </c>
      <c r="F31" s="1126">
        <v>57</v>
      </c>
    </row>
    <row r="32" spans="1:7" s="23" customFormat="1" ht="10.5" customHeight="1">
      <c r="A32" s="421"/>
      <c r="B32" s="202" t="s">
        <v>216</v>
      </c>
      <c r="C32" s="206" t="s">
        <v>956</v>
      </c>
      <c r="D32" s="1134">
        <v>0</v>
      </c>
      <c r="E32" s="1128">
        <v>170</v>
      </c>
      <c r="F32" s="1126">
        <v>170</v>
      </c>
      <c r="G32" s="450"/>
    </row>
    <row r="33" spans="1:6" s="23" customFormat="1" ht="10.5" customHeight="1">
      <c r="A33" s="421"/>
      <c r="B33" s="202" t="s">
        <v>217</v>
      </c>
      <c r="C33" s="211" t="s">
        <v>957</v>
      </c>
      <c r="D33" s="1132">
        <v>0</v>
      </c>
      <c r="E33" s="1131">
        <f>339561+1654</f>
        <v>341215</v>
      </c>
      <c r="F33" s="1126">
        <v>0</v>
      </c>
    </row>
    <row r="34" spans="1:7" s="23" customFormat="1" ht="10.5" customHeight="1">
      <c r="A34" s="421"/>
      <c r="B34" s="202" t="s">
        <v>287</v>
      </c>
      <c r="C34" s="908" t="s">
        <v>542</v>
      </c>
      <c r="D34" s="1133">
        <v>0</v>
      </c>
      <c r="E34" s="1128">
        <v>808</v>
      </c>
      <c r="F34" s="1126">
        <v>416</v>
      </c>
      <c r="G34" s="451"/>
    </row>
    <row r="35" spans="1:6" s="23" customFormat="1" ht="10.5" customHeight="1">
      <c r="A35" s="421"/>
      <c r="B35" s="202" t="s">
        <v>289</v>
      </c>
      <c r="C35" s="910" t="s">
        <v>543</v>
      </c>
      <c r="D35" s="1133">
        <v>0</v>
      </c>
      <c r="E35" s="1131">
        <f>7500+1000</f>
        <v>8500</v>
      </c>
      <c r="F35" s="1126">
        <v>3825</v>
      </c>
    </row>
    <row r="36" spans="1:6" s="23" customFormat="1" ht="10.5" customHeight="1">
      <c r="A36" s="421"/>
      <c r="B36" s="202" t="s">
        <v>291</v>
      </c>
      <c r="C36" s="911" t="s">
        <v>544</v>
      </c>
      <c r="D36" s="1133">
        <v>0</v>
      </c>
      <c r="E36" s="1136">
        <f>4001+12001</f>
        <v>16002</v>
      </c>
      <c r="F36" s="1126">
        <v>75</v>
      </c>
    </row>
    <row r="37" spans="1:6" s="23" customFormat="1" ht="10.5" customHeight="1">
      <c r="A37" s="421"/>
      <c r="B37" s="202" t="s">
        <v>293</v>
      </c>
      <c r="C37" s="908" t="s">
        <v>545</v>
      </c>
      <c r="D37" s="1130">
        <v>0</v>
      </c>
      <c r="E37" s="1128">
        <v>1480</v>
      </c>
      <c r="F37" s="1126">
        <v>1479</v>
      </c>
    </row>
    <row r="38" spans="1:6" s="23" customFormat="1" ht="10.5" customHeight="1">
      <c r="A38" s="421"/>
      <c r="B38" s="202" t="s">
        <v>691</v>
      </c>
      <c r="C38" s="910" t="s">
        <v>523</v>
      </c>
      <c r="D38" s="1132">
        <v>0</v>
      </c>
      <c r="E38" s="1131">
        <v>350</v>
      </c>
      <c r="F38" s="1137">
        <v>350</v>
      </c>
    </row>
    <row r="39" spans="1:6" s="23" customFormat="1" ht="10.5" customHeight="1">
      <c r="A39" s="421"/>
      <c r="B39" s="202" t="s">
        <v>692</v>
      </c>
      <c r="C39" s="908" t="s">
        <v>546</v>
      </c>
      <c r="D39" s="1130">
        <v>0</v>
      </c>
      <c r="E39" s="1128">
        <v>250</v>
      </c>
      <c r="F39" s="1137">
        <v>224</v>
      </c>
    </row>
    <row r="40" spans="1:6" s="23" customFormat="1" ht="10.5" customHeight="1">
      <c r="A40" s="421"/>
      <c r="B40" s="202" t="s">
        <v>693</v>
      </c>
      <c r="C40" s="908" t="s">
        <v>547</v>
      </c>
      <c r="D40" s="1130">
        <v>0</v>
      </c>
      <c r="E40" s="1128">
        <v>9475</v>
      </c>
      <c r="F40" s="1137">
        <v>9475</v>
      </c>
    </row>
    <row r="41" spans="1:6" s="23" customFormat="1" ht="10.5" customHeight="1">
      <c r="A41" s="421"/>
      <c r="B41" s="202" t="s">
        <v>694</v>
      </c>
      <c r="C41" s="911" t="s">
        <v>548</v>
      </c>
      <c r="D41" s="1130">
        <v>0</v>
      </c>
      <c r="E41" s="1128">
        <v>3188</v>
      </c>
      <c r="F41" s="1137">
        <v>3188</v>
      </c>
    </row>
    <row r="42" spans="1:6" s="23" customFormat="1" ht="21" customHeight="1">
      <c r="A42" s="421"/>
      <c r="B42" s="202" t="s">
        <v>695</v>
      </c>
      <c r="C42" s="1138" t="s">
        <v>509</v>
      </c>
      <c r="D42" s="1130">
        <v>0</v>
      </c>
      <c r="E42" s="1139">
        <v>525</v>
      </c>
      <c r="F42" s="1137">
        <v>525</v>
      </c>
    </row>
    <row r="43" spans="1:6" s="23" customFormat="1" ht="10.5" customHeight="1">
      <c r="A43" s="421"/>
      <c r="B43" s="202" t="s">
        <v>696</v>
      </c>
      <c r="C43" s="1138" t="s">
        <v>732</v>
      </c>
      <c r="D43" s="1132">
        <v>0</v>
      </c>
      <c r="E43" s="1128">
        <f>10000+313+400</f>
        <v>10713</v>
      </c>
      <c r="F43" s="1137">
        <v>713</v>
      </c>
    </row>
    <row r="44" spans="1:6" s="23" customFormat="1" ht="10.5" customHeight="1">
      <c r="A44" s="421"/>
      <c r="B44" s="202" t="s">
        <v>735</v>
      </c>
      <c r="C44" s="1138" t="s">
        <v>549</v>
      </c>
      <c r="D44" s="1130">
        <v>0</v>
      </c>
      <c r="E44" s="1128">
        <v>2494</v>
      </c>
      <c r="F44" s="1126">
        <v>2287</v>
      </c>
    </row>
    <row r="45" spans="1:6" s="23" customFormat="1" ht="10.5" customHeight="1">
      <c r="A45" s="421"/>
      <c r="B45" s="202"/>
      <c r="C45" s="211"/>
      <c r="D45" s="1132"/>
      <c r="E45" s="1140"/>
      <c r="F45" s="1141"/>
    </row>
    <row r="46" spans="1:6" s="23" customFormat="1" ht="10.5" customHeight="1">
      <c r="A46" s="421"/>
      <c r="B46" s="202"/>
      <c r="C46" s="204"/>
      <c r="D46" s="1142"/>
      <c r="E46" s="1140"/>
      <c r="F46" s="1141"/>
    </row>
    <row r="47" spans="1:6" s="23" customFormat="1" ht="10.5" customHeight="1">
      <c r="A47" s="255"/>
      <c r="B47" s="214" t="s">
        <v>311</v>
      </c>
      <c r="C47" s="210" t="s">
        <v>312</v>
      </c>
      <c r="D47" s="308">
        <f>SUM(D48:D60)</f>
        <v>1500</v>
      </c>
      <c r="E47" s="308">
        <f>SUM(E48:E60)</f>
        <v>2747</v>
      </c>
      <c r="F47" s="213">
        <f>SUM(F48:F60)</f>
        <v>2523</v>
      </c>
    </row>
    <row r="48" spans="1:6" s="23" customFormat="1" ht="10.5" customHeight="1">
      <c r="A48" s="255"/>
      <c r="B48" s="202" t="s">
        <v>109</v>
      </c>
      <c r="C48" s="908" t="s">
        <v>661</v>
      </c>
      <c r="D48" s="1143">
        <v>20</v>
      </c>
      <c r="E48" s="1144">
        <f>69+20-89</f>
        <v>0</v>
      </c>
      <c r="F48" s="1126">
        <v>0</v>
      </c>
    </row>
    <row r="49" spans="1:6" s="23" customFormat="1" ht="10.5" customHeight="1">
      <c r="A49" s="255"/>
      <c r="B49" s="202" t="s">
        <v>111</v>
      </c>
      <c r="C49" s="908" t="s">
        <v>550</v>
      </c>
      <c r="D49" s="1143">
        <v>480</v>
      </c>
      <c r="E49" s="1144">
        <v>488</v>
      </c>
      <c r="F49" s="1126">
        <v>488</v>
      </c>
    </row>
    <row r="50" spans="1:6" s="23" customFormat="1" ht="10.5" customHeight="1">
      <c r="A50" s="255"/>
      <c r="B50" s="202" t="s">
        <v>113</v>
      </c>
      <c r="C50" s="908" t="s">
        <v>551</v>
      </c>
      <c r="D50" s="1143">
        <v>1000</v>
      </c>
      <c r="E50" s="1144">
        <f>1000-280-720</f>
        <v>0</v>
      </c>
      <c r="F50" s="1126">
        <v>0</v>
      </c>
    </row>
    <row r="51" spans="1:6" s="23" customFormat="1" ht="12.75" customHeight="1">
      <c r="A51" s="255"/>
      <c r="B51" s="202" t="s">
        <v>115</v>
      </c>
      <c r="C51" s="910" t="s">
        <v>248</v>
      </c>
      <c r="D51" s="1143">
        <v>0</v>
      </c>
      <c r="E51" s="1144">
        <v>60</v>
      </c>
      <c r="F51" s="1126">
        <v>0</v>
      </c>
    </row>
    <row r="52" spans="1:6" s="23" customFormat="1" ht="21" customHeight="1">
      <c r="A52" s="255"/>
      <c r="B52" s="202" t="s">
        <v>117</v>
      </c>
      <c r="C52" s="912" t="s">
        <v>552</v>
      </c>
      <c r="D52" s="1143">
        <v>0</v>
      </c>
      <c r="E52" s="1145">
        <v>121</v>
      </c>
      <c r="F52" s="1126">
        <v>121</v>
      </c>
    </row>
    <row r="53" spans="1:6" s="23" customFormat="1" ht="26.25" customHeight="1">
      <c r="A53" s="255"/>
      <c r="B53" s="202" t="s">
        <v>119</v>
      </c>
      <c r="C53" s="912" t="s">
        <v>553</v>
      </c>
      <c r="D53" s="1143">
        <v>0</v>
      </c>
      <c r="E53" s="1145">
        <v>84</v>
      </c>
      <c r="F53" s="1126">
        <v>22</v>
      </c>
    </row>
    <row r="54" spans="1:6" s="23" customFormat="1" ht="10.5" customHeight="1">
      <c r="A54" s="255"/>
      <c r="B54" s="202" t="s">
        <v>121</v>
      </c>
      <c r="C54" s="206" t="s">
        <v>661</v>
      </c>
      <c r="D54" s="1143">
        <v>0</v>
      </c>
      <c r="E54" s="1144">
        <f>60-60</f>
        <v>0</v>
      </c>
      <c r="F54" s="1126">
        <v>0</v>
      </c>
    </row>
    <row r="55" spans="1:6" s="23" customFormat="1" ht="10.5" customHeight="1">
      <c r="A55" s="255"/>
      <c r="B55" s="202" t="s">
        <v>122</v>
      </c>
      <c r="C55" s="206" t="s">
        <v>662</v>
      </c>
      <c r="D55" s="1143">
        <v>0</v>
      </c>
      <c r="E55" s="1144">
        <v>97</v>
      </c>
      <c r="F55" s="1126">
        <v>32</v>
      </c>
    </row>
    <row r="56" spans="1:6" s="23" customFormat="1" ht="10.5" customHeight="1">
      <c r="A56" s="255"/>
      <c r="B56" s="202" t="s">
        <v>124</v>
      </c>
      <c r="C56" s="206" t="s">
        <v>554</v>
      </c>
      <c r="D56" s="1143">
        <v>0</v>
      </c>
      <c r="E56" s="1144">
        <v>130</v>
      </c>
      <c r="F56" s="1126">
        <v>130</v>
      </c>
    </row>
    <row r="57" spans="1:6" s="23" customFormat="1" ht="10.5" customHeight="1">
      <c r="A57" s="255"/>
      <c r="B57" s="202" t="s">
        <v>126</v>
      </c>
      <c r="C57" s="206" t="s">
        <v>555</v>
      </c>
      <c r="D57" s="1143">
        <v>0</v>
      </c>
      <c r="E57" s="1144">
        <f>300+600+14</f>
        <v>914</v>
      </c>
      <c r="F57" s="1126">
        <v>914</v>
      </c>
    </row>
    <row r="58" spans="1:6" s="23" customFormat="1" ht="10.5" customHeight="1">
      <c r="A58" s="255"/>
      <c r="B58" s="202" t="s">
        <v>127</v>
      </c>
      <c r="C58" s="206" t="s">
        <v>556</v>
      </c>
      <c r="D58" s="1143">
        <v>0</v>
      </c>
      <c r="E58" s="1144">
        <f>89+60+280+54</f>
        <v>483</v>
      </c>
      <c r="F58" s="1126">
        <v>446</v>
      </c>
    </row>
    <row r="59" spans="1:6" s="23" customFormat="1" ht="10.5" customHeight="1">
      <c r="A59" s="255"/>
      <c r="B59" s="202" t="s">
        <v>192</v>
      </c>
      <c r="C59" s="206" t="s">
        <v>557</v>
      </c>
      <c r="D59" s="1143">
        <v>0</v>
      </c>
      <c r="E59" s="1144">
        <v>220</v>
      </c>
      <c r="F59" s="1126">
        <v>220</v>
      </c>
    </row>
    <row r="60" spans="1:6" s="23" customFormat="1" ht="10.5" customHeight="1">
      <c r="A60" s="255"/>
      <c r="B60" s="202" t="s">
        <v>195</v>
      </c>
      <c r="C60" s="206" t="s">
        <v>558</v>
      </c>
      <c r="D60" s="1143"/>
      <c r="E60" s="1144">
        <v>150</v>
      </c>
      <c r="F60" s="1126">
        <v>150</v>
      </c>
    </row>
    <row r="61" spans="1:6" s="23" customFormat="1" ht="10.5" customHeight="1">
      <c r="A61" s="255"/>
      <c r="B61" s="202"/>
      <c r="C61" s="211"/>
      <c r="D61" s="1142"/>
      <c r="E61" s="1140"/>
      <c r="F61" s="1141"/>
    </row>
    <row r="62" spans="1:6" s="23" customFormat="1" ht="10.5" customHeight="1">
      <c r="A62" s="255" t="s">
        <v>142</v>
      </c>
      <c r="B62" s="202"/>
      <c r="C62" s="212" t="s">
        <v>663</v>
      </c>
      <c r="D62" s="308">
        <f>D63</f>
        <v>12813</v>
      </c>
      <c r="E62" s="308">
        <f>E63</f>
        <v>69384</v>
      </c>
      <c r="F62" s="213">
        <f>F63</f>
        <v>35568</v>
      </c>
    </row>
    <row r="63" spans="1:6" s="23" customFormat="1" ht="16.5" customHeight="1">
      <c r="A63" s="255"/>
      <c r="B63" s="214" t="s">
        <v>309</v>
      </c>
      <c r="C63" s="212" t="s">
        <v>310</v>
      </c>
      <c r="D63" s="308">
        <f>SUM(D64:D73)</f>
        <v>12813</v>
      </c>
      <c r="E63" s="308">
        <f>SUM(E64:E73)</f>
        <v>69384</v>
      </c>
      <c r="F63" s="213">
        <f>SUM(F64:F73)</f>
        <v>35568</v>
      </c>
    </row>
    <row r="64" spans="1:6" s="23" customFormat="1" ht="10.5" customHeight="1">
      <c r="A64" s="255"/>
      <c r="B64" s="202" t="s">
        <v>109</v>
      </c>
      <c r="C64" s="209" t="s">
        <v>559</v>
      </c>
      <c r="D64" s="1143">
        <v>1500</v>
      </c>
      <c r="E64" s="1143">
        <v>1500</v>
      </c>
      <c r="F64" s="1126">
        <v>0</v>
      </c>
    </row>
    <row r="65" spans="1:6" s="23" customFormat="1" ht="10.5" customHeight="1">
      <c r="A65" s="255"/>
      <c r="B65" s="202" t="s">
        <v>111</v>
      </c>
      <c r="C65" s="206" t="s">
        <v>560</v>
      </c>
      <c r="D65" s="1143">
        <v>3086</v>
      </c>
      <c r="E65" s="1143">
        <f>3086-3086</f>
        <v>0</v>
      </c>
      <c r="F65" s="1126">
        <v>0</v>
      </c>
    </row>
    <row r="66" spans="1:6" s="23" customFormat="1" ht="10.5" customHeight="1">
      <c r="A66" s="255"/>
      <c r="B66" s="202" t="s">
        <v>113</v>
      </c>
      <c r="C66" s="206" t="s">
        <v>561</v>
      </c>
      <c r="D66" s="1143">
        <v>1727</v>
      </c>
      <c r="E66" s="1143">
        <f>1727+72-1799</f>
        <v>0</v>
      </c>
      <c r="F66" s="1126">
        <v>0</v>
      </c>
    </row>
    <row r="67" spans="1:6" s="23" customFormat="1" ht="10.5" customHeight="1">
      <c r="A67" s="255"/>
      <c r="B67" s="202" t="s">
        <v>115</v>
      </c>
      <c r="C67" s="908" t="s">
        <v>562</v>
      </c>
      <c r="D67" s="1143">
        <v>6500</v>
      </c>
      <c r="E67" s="1143">
        <f>6500+271</f>
        <v>6771</v>
      </c>
      <c r="F67" s="1126">
        <v>0</v>
      </c>
    </row>
    <row r="68" spans="1:6" s="23" customFormat="1" ht="14.25" customHeight="1">
      <c r="A68" s="255"/>
      <c r="B68" s="202" t="s">
        <v>117</v>
      </c>
      <c r="C68" s="206" t="s">
        <v>563</v>
      </c>
      <c r="D68" s="1143">
        <v>0</v>
      </c>
      <c r="E68" s="1143">
        <f>4471+3812+332</f>
        <v>8615</v>
      </c>
      <c r="F68" s="1126">
        <v>8614</v>
      </c>
    </row>
    <row r="69" spans="1:6" s="23" customFormat="1" ht="10.5" customHeight="1">
      <c r="A69" s="255"/>
      <c r="B69" s="202" t="s">
        <v>119</v>
      </c>
      <c r="C69" s="209" t="s">
        <v>564</v>
      </c>
      <c r="D69" s="1143">
        <v>0</v>
      </c>
      <c r="E69" s="1143">
        <f>1885+10787</f>
        <v>12672</v>
      </c>
      <c r="F69" s="1126">
        <v>12672</v>
      </c>
    </row>
    <row r="70" spans="1:6" s="23" customFormat="1" ht="10.5" customHeight="1">
      <c r="A70" s="255"/>
      <c r="B70" s="202" t="s">
        <v>121</v>
      </c>
      <c r="C70" s="206" t="s">
        <v>664</v>
      </c>
      <c r="D70" s="1143">
        <v>0</v>
      </c>
      <c r="E70" s="1143">
        <f>1788+1883-64+64</f>
        <v>3671</v>
      </c>
      <c r="F70" s="1126">
        <v>3683</v>
      </c>
    </row>
    <row r="71" spans="1:6" s="23" customFormat="1" ht="10.5" customHeight="1">
      <c r="A71" s="255"/>
      <c r="B71" s="202" t="s">
        <v>122</v>
      </c>
      <c r="C71" s="209" t="s">
        <v>565</v>
      </c>
      <c r="D71" s="1143">
        <v>0</v>
      </c>
      <c r="E71" s="1143">
        <f>7447-7261</f>
        <v>186</v>
      </c>
      <c r="F71" s="1126">
        <v>186</v>
      </c>
    </row>
    <row r="72" spans="1:6" s="23" customFormat="1" ht="10.5" customHeight="1">
      <c r="A72" s="255"/>
      <c r="B72" s="202" t="s">
        <v>124</v>
      </c>
      <c r="C72" s="209" t="s">
        <v>566</v>
      </c>
      <c r="D72" s="1143"/>
      <c r="E72" s="1143">
        <v>25556</v>
      </c>
      <c r="F72" s="1126"/>
    </row>
    <row r="73" spans="1:6" s="23" customFormat="1" ht="10.5" customHeight="1" thickBot="1">
      <c r="A73" s="255"/>
      <c r="B73" s="202" t="s">
        <v>126</v>
      </c>
      <c r="C73" s="913" t="s">
        <v>514</v>
      </c>
      <c r="D73" s="1146"/>
      <c r="E73" s="1146">
        <f>3263+7150</f>
        <v>10413</v>
      </c>
      <c r="F73" s="1147">
        <v>10413</v>
      </c>
    </row>
    <row r="74" spans="1:6" s="23" customFormat="1" ht="17.25" customHeight="1" thickBot="1" thickTop="1">
      <c r="A74" s="1328" t="s">
        <v>665</v>
      </c>
      <c r="B74" s="1329"/>
      <c r="C74" s="1330"/>
      <c r="D74" s="429">
        <f>D47+D8+D62</f>
        <v>56105</v>
      </c>
      <c r="E74" s="429">
        <f>E47+E8+E62</f>
        <v>699579</v>
      </c>
      <c r="F74" s="422">
        <f>F47+F8+F62</f>
        <v>90964</v>
      </c>
    </row>
    <row r="75" spans="1:6" s="23" customFormat="1" ht="12" customHeight="1">
      <c r="A75" s="421"/>
      <c r="B75" s="215"/>
      <c r="C75" s="216"/>
      <c r="D75" s="1148"/>
      <c r="E75" s="1140"/>
      <c r="F75" s="1141"/>
    </row>
    <row r="76" spans="1:6" s="23" customFormat="1" ht="12" customHeight="1">
      <c r="A76" s="420" t="s">
        <v>159</v>
      </c>
      <c r="B76" s="224"/>
      <c r="C76" s="217" t="s">
        <v>313</v>
      </c>
      <c r="D76" s="1118"/>
      <c r="E76" s="1140"/>
      <c r="F76" s="1141"/>
    </row>
    <row r="77" spans="1:6" s="23" customFormat="1" ht="12" customHeight="1">
      <c r="A77" s="420"/>
      <c r="B77" s="224"/>
      <c r="C77" s="217"/>
      <c r="D77" s="1118"/>
      <c r="E77" s="1140"/>
      <c r="F77" s="1141"/>
    </row>
    <row r="78" spans="1:6" s="23" customFormat="1" ht="12" customHeight="1">
      <c r="A78" s="420"/>
      <c r="B78" s="423" t="s">
        <v>309</v>
      </c>
      <c r="C78" s="217" t="s">
        <v>310</v>
      </c>
      <c r="D78" s="308">
        <f>SUM(D79:D87)</f>
        <v>26979</v>
      </c>
      <c r="E78" s="308">
        <f>SUM(E79:E87)</f>
        <v>42906</v>
      </c>
      <c r="F78" s="1141">
        <f>SUM(F79:F87)</f>
        <v>31665</v>
      </c>
    </row>
    <row r="79" spans="1:6" s="23" customFormat="1" ht="12" customHeight="1">
      <c r="A79" s="424"/>
      <c r="B79" s="202" t="s">
        <v>109</v>
      </c>
      <c r="C79" s="203" t="s">
        <v>228</v>
      </c>
      <c r="D79" s="1130">
        <v>3401</v>
      </c>
      <c r="E79" s="1143">
        <v>3401</v>
      </c>
      <c r="F79" s="1126">
        <v>200</v>
      </c>
    </row>
    <row r="80" spans="1:6" s="23" customFormat="1" ht="12" customHeight="1">
      <c r="A80" s="421"/>
      <c r="B80" s="202" t="s">
        <v>111</v>
      </c>
      <c r="C80" s="203" t="s">
        <v>567</v>
      </c>
      <c r="D80" s="1130">
        <v>978</v>
      </c>
      <c r="E80" s="1143">
        <v>978</v>
      </c>
      <c r="F80" s="1126">
        <v>0</v>
      </c>
    </row>
    <row r="81" spans="1:6" s="23" customFormat="1" ht="12" customHeight="1">
      <c r="A81" s="421"/>
      <c r="B81" s="202" t="s">
        <v>113</v>
      </c>
      <c r="C81" s="218" t="s">
        <v>672</v>
      </c>
      <c r="D81" s="1130">
        <v>600</v>
      </c>
      <c r="E81" s="1143">
        <v>600</v>
      </c>
      <c r="F81" s="1149">
        <v>81</v>
      </c>
    </row>
    <row r="82" spans="1:6" s="23" customFormat="1" ht="12" customHeight="1">
      <c r="A82" s="421"/>
      <c r="B82" s="202" t="s">
        <v>115</v>
      </c>
      <c r="C82" s="203" t="s">
        <v>673</v>
      </c>
      <c r="D82" s="1150">
        <v>2000</v>
      </c>
      <c r="E82" s="1143">
        <v>2000</v>
      </c>
      <c r="F82" s="1149">
        <v>0</v>
      </c>
    </row>
    <row r="83" spans="1:6" s="23" customFormat="1" ht="12" customHeight="1">
      <c r="A83" s="421"/>
      <c r="B83" s="202" t="s">
        <v>117</v>
      </c>
      <c r="C83" s="908" t="s">
        <v>568</v>
      </c>
      <c r="D83" s="1130">
        <v>20000</v>
      </c>
      <c r="E83" s="1144">
        <f>20000-15500</f>
        <v>4500</v>
      </c>
      <c r="F83" s="1149">
        <v>4500</v>
      </c>
    </row>
    <row r="84" spans="1:6" s="23" customFormat="1" ht="12" customHeight="1">
      <c r="A84" s="421"/>
      <c r="B84" s="202" t="s">
        <v>119</v>
      </c>
      <c r="C84" s="910" t="s">
        <v>227</v>
      </c>
      <c r="D84" s="1132">
        <v>0</v>
      </c>
      <c r="E84" s="1144">
        <v>154</v>
      </c>
      <c r="F84" s="1149">
        <v>0</v>
      </c>
    </row>
    <row r="85" spans="1:6" s="23" customFormat="1" ht="12" customHeight="1">
      <c r="A85" s="421"/>
      <c r="B85" s="202" t="s">
        <v>121</v>
      </c>
      <c r="C85" s="911" t="s">
        <v>569</v>
      </c>
      <c r="D85" s="1130">
        <v>0</v>
      </c>
      <c r="E85" s="1144">
        <f>13560+14+1200+500+4450+7259+1815</f>
        <v>28798</v>
      </c>
      <c r="F85" s="1149">
        <v>26612</v>
      </c>
    </row>
    <row r="86" spans="1:6" s="23" customFormat="1" ht="12" customHeight="1">
      <c r="A86" s="421"/>
      <c r="B86" s="202" t="s">
        <v>122</v>
      </c>
      <c r="C86" s="205" t="s">
        <v>570</v>
      </c>
      <c r="D86" s="1129">
        <v>0</v>
      </c>
      <c r="E86" s="1143">
        <v>272</v>
      </c>
      <c r="F86" s="1126">
        <v>272</v>
      </c>
    </row>
    <row r="87" spans="1:6" s="23" customFormat="1" ht="12" customHeight="1">
      <c r="A87" s="421"/>
      <c r="B87" s="202" t="s">
        <v>124</v>
      </c>
      <c r="C87" s="205" t="s">
        <v>571</v>
      </c>
      <c r="D87" s="1151">
        <v>0</v>
      </c>
      <c r="E87" s="1143">
        <v>2203</v>
      </c>
      <c r="F87" s="1126">
        <v>0</v>
      </c>
    </row>
    <row r="88" spans="1:6" s="23" customFormat="1" ht="12" customHeight="1" thickBot="1">
      <c r="A88" s="421"/>
      <c r="B88" s="202"/>
      <c r="C88" s="914"/>
      <c r="D88" s="1152"/>
      <c r="E88" s="1140"/>
      <c r="F88" s="1141"/>
    </row>
    <row r="89" spans="1:6" ht="12" customHeight="1" thickBot="1" thickTop="1">
      <c r="A89" s="1331" t="s">
        <v>665</v>
      </c>
      <c r="B89" s="1332"/>
      <c r="C89" s="1333"/>
      <c r="D89" s="247">
        <f>D78</f>
        <v>26979</v>
      </c>
      <c r="E89" s="247">
        <f>E78</f>
        <v>42906</v>
      </c>
      <c r="F89" s="248">
        <f>F78</f>
        <v>31665</v>
      </c>
    </row>
    <row r="90" spans="1:6" ht="12" customHeight="1" thickTop="1">
      <c r="A90" s="425"/>
      <c r="B90" s="426"/>
      <c r="C90" s="427" t="s">
        <v>674</v>
      </c>
      <c r="D90" s="1336">
        <f>D74+D89</f>
        <v>83084</v>
      </c>
      <c r="E90" s="1336">
        <f>E74+E89</f>
        <v>742485</v>
      </c>
      <c r="F90" s="1334">
        <f>F74+F89</f>
        <v>122629</v>
      </c>
    </row>
    <row r="91" spans="1:6" ht="12" customHeight="1" thickBot="1">
      <c r="A91" s="222"/>
      <c r="B91" s="223"/>
      <c r="C91" s="428" t="s">
        <v>675</v>
      </c>
      <c r="D91" s="1337"/>
      <c r="E91" s="1337"/>
      <c r="F91" s="1335"/>
    </row>
    <row r="92" ht="12" customHeight="1">
      <c r="E92" s="1113" t="s">
        <v>314</v>
      </c>
    </row>
  </sheetData>
  <sheetProtection/>
  <mergeCells count="6">
    <mergeCell ref="A6:C6"/>
    <mergeCell ref="A74:C74"/>
    <mergeCell ref="A89:C89"/>
    <mergeCell ref="F90:F91"/>
    <mergeCell ref="D90:D91"/>
    <mergeCell ref="E90:E91"/>
  </mergeCells>
  <printOptions horizontalCentered="1"/>
  <pageMargins left="0.7874015748031497" right="0.7874015748031497" top="0.5905511811023623" bottom="0.3937007874015748" header="0.5118110236220472" footer="0"/>
  <pageSetup fitToHeight="2" horizontalDpi="600" verticalDpi="600" orientation="portrait" paperSize="9" r:id="rId2"/>
  <rowBreaks count="1" manualBreakCount="1">
    <brk id="6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oroszizsuzsanna</cp:lastModifiedBy>
  <cp:lastPrinted>2010-04-29T13:09:42Z</cp:lastPrinted>
  <dcterms:created xsi:type="dcterms:W3CDTF">2006-02-08T00:02:41Z</dcterms:created>
  <dcterms:modified xsi:type="dcterms:W3CDTF">2010-05-17T09:29:56Z</dcterms:modified>
  <cp:category/>
  <cp:version/>
  <cp:contentType/>
  <cp:contentStatus/>
</cp:coreProperties>
</file>